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tables/table2.xml" ContentType="application/vnd.openxmlformats-officedocument.spreadsheetml.table+xml"/>
  <Override PartName="/xl/slicers/slicer2.xml" ContentType="application/vnd.ms-excel.slicer+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tables/table3.xml" ContentType="application/vnd.openxmlformats-officedocument.spreadsheetml.table+xml"/>
  <Override PartName="/xl/slicers/slicer3.xml" ContentType="application/vnd.ms-excel.slicer+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tables/table4.xml" ContentType="application/vnd.openxmlformats-officedocument.spreadsheetml.table+xml"/>
  <Override PartName="/xl/slicers/slicer4.xml" ContentType="application/vnd.ms-excel.slicer+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tables/table5.xml" ContentType="application/vnd.openxmlformats-officedocument.spreadsheetml.table+xml"/>
  <Override PartName="/xl/slicers/slicer5.xml" ContentType="application/vnd.ms-excel.slicer+xml"/>
  <Override PartName="/xl/charts/chart5.xml" ContentType="application/vnd.openxmlformats-officedocument.drawingml.chart+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filterPrivacy="1" defaultThemeVersion="166925"/>
  <xr:revisionPtr revIDLastSave="0" documentId="13_ncr:1_{30C30639-F3DF-4FCF-A415-B90E0A05135F}" xr6:coauthVersionLast="45" xr6:coauthVersionMax="45" xr10:uidLastSave="{00000000-0000-0000-0000-000000000000}"/>
  <bookViews>
    <workbookView xWindow="-100" yWindow="-100" windowWidth="24172" windowHeight="14725" tabRatio="752" xr2:uid="{B9BD73D1-11A8-46DD-8678-3D8C7901D3BB}"/>
  </bookViews>
  <sheets>
    <sheet name="Дума партии" sheetId="1" r:id="rId1"/>
    <sheet name="Мособлдума партии" sheetId="2" r:id="rId2"/>
    <sheet name="Дума одномандатный" sheetId="3" r:id="rId3"/>
    <sheet name="Мособлдума одномандатный №6" sheetId="4" r:id="rId4"/>
    <sheet name="Мособлдума одномандатный №13" sheetId="6" r:id="rId5"/>
    <sheet name="Оценка фальсификаций" sheetId="5" r:id="rId6"/>
  </sheets>
  <definedNames>
    <definedName name="Slicer_КОИБ">#N/A</definedName>
    <definedName name="Slicer_КОИБ1">#N/A</definedName>
    <definedName name="Slicer_КОИБ2">#N/A</definedName>
    <definedName name="Slicer_КОИБ3">#N/A</definedName>
    <definedName name="Slicer_КОИБ4">#N/A</definedName>
    <definedName name="Slicer_Наблюдателей">#N/A</definedName>
    <definedName name="Slicer_Наблюдателей1">#N/A</definedName>
    <definedName name="Slicer_Наблюдателей2">#N/A</definedName>
    <definedName name="Slicer_Наблюдателей3">#N/A</definedName>
    <definedName name="Slicer_Наблюдателей31">#N/A</definedName>
  </definedNames>
  <calcPr calcId="18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4:slicerCache r:id="rId9"/>
        <x14:slicerCache r:id="rId10"/>
        <x14:slicerCache r:id="rId11"/>
        <x14:slicerCache r:id="rId12"/>
        <x14:slicerCache r:id="rId13"/>
        <x14:slicerCache r:id="rId14"/>
        <x14:slicerCache r:id="rId15"/>
        <x14:slicerCache r:id="rId16"/>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84" i="5" l="1"/>
  <c r="AN28" i="6" l="1"/>
  <c r="AN29" i="6"/>
  <c r="AN30" i="6"/>
  <c r="AN31" i="6"/>
  <c r="AN32" i="6"/>
  <c r="AN33" i="6"/>
  <c r="AN34" i="6"/>
  <c r="AN35" i="6"/>
  <c r="AN36" i="6"/>
  <c r="AN44" i="6"/>
  <c r="AN45" i="6"/>
  <c r="AN46" i="6"/>
  <c r="AN47" i="6"/>
  <c r="AN48" i="6"/>
  <c r="AN49" i="6"/>
  <c r="AN50" i="6"/>
  <c r="AN51" i="6"/>
  <c r="AN52" i="6"/>
  <c r="AN53" i="6"/>
  <c r="AN54" i="6"/>
  <c r="AN55" i="6"/>
  <c r="AN95" i="6"/>
  <c r="AN96" i="6"/>
  <c r="AN97" i="6"/>
  <c r="AN98" i="6"/>
  <c r="AP2" i="4"/>
  <c r="AP3" i="4"/>
  <c r="AP4" i="4"/>
  <c r="AP5" i="4"/>
  <c r="AP6" i="4"/>
  <c r="AP7" i="4"/>
  <c r="AP8" i="4"/>
  <c r="AP9" i="4"/>
  <c r="AP10" i="4"/>
  <c r="AP11" i="4"/>
  <c r="AP12" i="4"/>
  <c r="AP13" i="4"/>
  <c r="AP14" i="4"/>
  <c r="AP15" i="4"/>
  <c r="AP16" i="4"/>
  <c r="AP17" i="4"/>
  <c r="AP18" i="4"/>
  <c r="AP19" i="4"/>
  <c r="AP20" i="4"/>
  <c r="AP21" i="4"/>
  <c r="AP22" i="4"/>
  <c r="AP23" i="4"/>
  <c r="AP24" i="4"/>
  <c r="AP25" i="4"/>
  <c r="AP26" i="4"/>
  <c r="AP27" i="4"/>
  <c r="AP37" i="4"/>
  <c r="AP38" i="4"/>
  <c r="AP39" i="4"/>
  <c r="AP40" i="4"/>
  <c r="AP41" i="4"/>
  <c r="AP42" i="4"/>
  <c r="AP43" i="4"/>
  <c r="AP56" i="4"/>
  <c r="AP57" i="4"/>
  <c r="AP58" i="4"/>
  <c r="AP59" i="4"/>
  <c r="AP60" i="4"/>
  <c r="AP61" i="4"/>
  <c r="AP62" i="4"/>
  <c r="AP63" i="4"/>
  <c r="AP64" i="4"/>
  <c r="AP65" i="4"/>
  <c r="AP66" i="4"/>
  <c r="AP67" i="4"/>
  <c r="AP68" i="4"/>
  <c r="AP69" i="4"/>
  <c r="AP70" i="4"/>
  <c r="AP71" i="4"/>
  <c r="AP72" i="4"/>
  <c r="AP73" i="4"/>
  <c r="AP74" i="4"/>
  <c r="AP75" i="4"/>
  <c r="AP76" i="4"/>
  <c r="AP77" i="4"/>
  <c r="AP78" i="4"/>
  <c r="AP79" i="4"/>
  <c r="AP80" i="4"/>
  <c r="AP81" i="4"/>
  <c r="AP82" i="4"/>
  <c r="AP83" i="4"/>
  <c r="AP84" i="4"/>
  <c r="AP85" i="4"/>
  <c r="AP86" i="4"/>
  <c r="AP87" i="4"/>
  <c r="AP88" i="4"/>
  <c r="AP89" i="4"/>
  <c r="AP90" i="4"/>
  <c r="AP91" i="4"/>
  <c r="AP92" i="4"/>
  <c r="AP93" i="4"/>
  <c r="AP94" i="4"/>
  <c r="AP99" i="4"/>
  <c r="AP100" i="4"/>
  <c r="AP101" i="4"/>
  <c r="AP102" i="4"/>
  <c r="AP103" i="4"/>
  <c r="AP104" i="4"/>
  <c r="AP105" i="4"/>
  <c r="AP106" i="4"/>
  <c r="AP107" i="4"/>
  <c r="AP108" i="4"/>
  <c r="AP109" i="4"/>
  <c r="AP110" i="4"/>
  <c r="AP111" i="4"/>
  <c r="AP112" i="4"/>
  <c r="AP113" i="4"/>
  <c r="AP114" i="4"/>
  <c r="AP115" i="4"/>
  <c r="AP116" i="4"/>
  <c r="AP117" i="4"/>
  <c r="AP118" i="4"/>
  <c r="AP119" i="4"/>
  <c r="AP120" i="4"/>
  <c r="AP121" i="4"/>
  <c r="AP122" i="4"/>
  <c r="AP123" i="4"/>
  <c r="AP124" i="4"/>
  <c r="AP125" i="4"/>
  <c r="AP126" i="4"/>
  <c r="AP127" i="4"/>
  <c r="AP128" i="4"/>
  <c r="AP129" i="4"/>
  <c r="AP130" i="4"/>
  <c r="AP131" i="4"/>
  <c r="AP132" i="4"/>
  <c r="AP133" i="4"/>
  <c r="AP134" i="4"/>
  <c r="AP135" i="4"/>
  <c r="AP136" i="4"/>
  <c r="AP137" i="4"/>
  <c r="AP138" i="4"/>
  <c r="AP139" i="4"/>
  <c r="AP140" i="4"/>
  <c r="AP141" i="4"/>
  <c r="AP142" i="4"/>
  <c r="AP143" i="4"/>
  <c r="AP144" i="4"/>
  <c r="AP145" i="4"/>
  <c r="AP146" i="4"/>
  <c r="AP147" i="4"/>
  <c r="AP148" i="4"/>
  <c r="AP149" i="4"/>
  <c r="AP150" i="4"/>
  <c r="AP151" i="4"/>
  <c r="AP152" i="4"/>
  <c r="AP153" i="4"/>
  <c r="AP154" i="4"/>
  <c r="AP155" i="4"/>
  <c r="AP156" i="4"/>
  <c r="AP157" i="4"/>
  <c r="AP158" i="4"/>
  <c r="AP159" i="4"/>
  <c r="AP160" i="4"/>
  <c r="AP161" i="4"/>
  <c r="AP162" i="4"/>
  <c r="AP163" i="4"/>
  <c r="AP164" i="4"/>
  <c r="AP165" i="4"/>
  <c r="AP166" i="4"/>
  <c r="AP167" i="4"/>
  <c r="AP168" i="4"/>
  <c r="AP169" i="4"/>
  <c r="AP170" i="4"/>
  <c r="AP171" i="4"/>
  <c r="AP172" i="4"/>
  <c r="AP173" i="4"/>
  <c r="AP174" i="4"/>
  <c r="AP175" i="4"/>
  <c r="AP176" i="4"/>
  <c r="AP177" i="4"/>
  <c r="AP178" i="4"/>
  <c r="AP179" i="4"/>
  <c r="AP180" i="4"/>
  <c r="AP181" i="4"/>
  <c r="AP182" i="4"/>
  <c r="AP183" i="4"/>
  <c r="AV2" i="3"/>
  <c r="AV3" i="3"/>
  <c r="AV4" i="3"/>
  <c r="AV5" i="3"/>
  <c r="AV6" i="3"/>
  <c r="AV7" i="3"/>
  <c r="AV8" i="3"/>
  <c r="AV9" i="3"/>
  <c r="AV10" i="3"/>
  <c r="AV11" i="3"/>
  <c r="AV12" i="3"/>
  <c r="AV13" i="3"/>
  <c r="AV14" i="3"/>
  <c r="AV15" i="3"/>
  <c r="AV16" i="3"/>
  <c r="AV17" i="3"/>
  <c r="AV18" i="3"/>
  <c r="AV19" i="3"/>
  <c r="AV20" i="3"/>
  <c r="AV21" i="3"/>
  <c r="AV22" i="3"/>
  <c r="AV23" i="3"/>
  <c r="AV24" i="3"/>
  <c r="AV25" i="3"/>
  <c r="AV26" i="3"/>
  <c r="AV27" i="3"/>
  <c r="AV28" i="3"/>
  <c r="AV29" i="3"/>
  <c r="AV30" i="3"/>
  <c r="AV31" i="3"/>
  <c r="AV32" i="3"/>
  <c r="AV33" i="3"/>
  <c r="AV34" i="3"/>
  <c r="AV35" i="3"/>
  <c r="AV36" i="3"/>
  <c r="AV37" i="3"/>
  <c r="AV38" i="3"/>
  <c r="AV39" i="3"/>
  <c r="AV40" i="3"/>
  <c r="AV41" i="3"/>
  <c r="AV42" i="3"/>
  <c r="AV43" i="3"/>
  <c r="AV44" i="3"/>
  <c r="AV45" i="3"/>
  <c r="AV46" i="3"/>
  <c r="AV47" i="3"/>
  <c r="AV48" i="3"/>
  <c r="AV49" i="3"/>
  <c r="AV50" i="3"/>
  <c r="AV51" i="3"/>
  <c r="AV52" i="3"/>
  <c r="AV53" i="3"/>
  <c r="AV54" i="3"/>
  <c r="AV55" i="3"/>
  <c r="AV56" i="3"/>
  <c r="AV57" i="3"/>
  <c r="AV58" i="3"/>
  <c r="AV59" i="3"/>
  <c r="AV60" i="3"/>
  <c r="AV61" i="3"/>
  <c r="AV62" i="3"/>
  <c r="AV63" i="3"/>
  <c r="AV64" i="3"/>
  <c r="AV65" i="3"/>
  <c r="AV66" i="3"/>
  <c r="AV67" i="3"/>
  <c r="AV68" i="3"/>
  <c r="AV69" i="3"/>
  <c r="AV70" i="3"/>
  <c r="AV71" i="3"/>
  <c r="AV72" i="3"/>
  <c r="AV73" i="3"/>
  <c r="AV74" i="3"/>
  <c r="AV75" i="3"/>
  <c r="AV76" i="3"/>
  <c r="AV77" i="3"/>
  <c r="AV78" i="3"/>
  <c r="AV79" i="3"/>
  <c r="AV80" i="3"/>
  <c r="AV81" i="3"/>
  <c r="AV82" i="3"/>
  <c r="AV83" i="3"/>
  <c r="AV84" i="3"/>
  <c r="AV85" i="3"/>
  <c r="AV86" i="3"/>
  <c r="AV87" i="3"/>
  <c r="AV88" i="3"/>
  <c r="AV89" i="3"/>
  <c r="AV90" i="3"/>
  <c r="AV91" i="3"/>
  <c r="AV92" i="3"/>
  <c r="AV93" i="3"/>
  <c r="AV94" i="3"/>
  <c r="AV95" i="3"/>
  <c r="AV96" i="3"/>
  <c r="AV97" i="3"/>
  <c r="AV98" i="3"/>
  <c r="AV99" i="3"/>
  <c r="AV100" i="3"/>
  <c r="AV101" i="3"/>
  <c r="AV102" i="3"/>
  <c r="AV103" i="3"/>
  <c r="AV104" i="3"/>
  <c r="AV105" i="3"/>
  <c r="AV106" i="3"/>
  <c r="AV107" i="3"/>
  <c r="AV108" i="3"/>
  <c r="AV109" i="3"/>
  <c r="AV110" i="3"/>
  <c r="AV111" i="3"/>
  <c r="AV112" i="3"/>
  <c r="AV113" i="3"/>
  <c r="AV114" i="3"/>
  <c r="AV115" i="3"/>
  <c r="AV116" i="3"/>
  <c r="AV117" i="3"/>
  <c r="AV118" i="3"/>
  <c r="AV119" i="3"/>
  <c r="AV120" i="3"/>
  <c r="AV121" i="3"/>
  <c r="AV122" i="3"/>
  <c r="AV123" i="3"/>
  <c r="AV124" i="3"/>
  <c r="AV125" i="3"/>
  <c r="AV126" i="3"/>
  <c r="AV127" i="3"/>
  <c r="AV128" i="3"/>
  <c r="AV129" i="3"/>
  <c r="AV130" i="3"/>
  <c r="AV131" i="3"/>
  <c r="AV132" i="3"/>
  <c r="AV133" i="3"/>
  <c r="AV134" i="3"/>
  <c r="AV135" i="3"/>
  <c r="AV136" i="3"/>
  <c r="AV137" i="3"/>
  <c r="AV138" i="3"/>
  <c r="AV139" i="3"/>
  <c r="AV140" i="3"/>
  <c r="AV141" i="3"/>
  <c r="AV142" i="3"/>
  <c r="AV143" i="3"/>
  <c r="AV144" i="3"/>
  <c r="AV145" i="3"/>
  <c r="AV146" i="3"/>
  <c r="AV147" i="3"/>
  <c r="AV148" i="3"/>
  <c r="AV149" i="3"/>
  <c r="AV150" i="3"/>
  <c r="AV151" i="3"/>
  <c r="AV152" i="3"/>
  <c r="AV153" i="3"/>
  <c r="AV154" i="3"/>
  <c r="AV155" i="3"/>
  <c r="AV156" i="3"/>
  <c r="AV157" i="3"/>
  <c r="AV158" i="3"/>
  <c r="AV159" i="3"/>
  <c r="AV160" i="3"/>
  <c r="AV161" i="3"/>
  <c r="AV162" i="3"/>
  <c r="AV163" i="3"/>
  <c r="AV164" i="3"/>
  <c r="AV165" i="3"/>
  <c r="AV166" i="3"/>
  <c r="AV167" i="3"/>
  <c r="AV168" i="3"/>
  <c r="AV169" i="3"/>
  <c r="AV170" i="3"/>
  <c r="AV171" i="3"/>
  <c r="AV172" i="3"/>
  <c r="AV173" i="3"/>
  <c r="AV174" i="3"/>
  <c r="AV175" i="3"/>
  <c r="AV176" i="3"/>
  <c r="AV177" i="3"/>
  <c r="AV178" i="3"/>
  <c r="AV179" i="3"/>
  <c r="AV180" i="3"/>
  <c r="AV181" i="3"/>
  <c r="AV182" i="3"/>
  <c r="AV183" i="3"/>
  <c r="AV2" i="2"/>
  <c r="AV3" i="2"/>
  <c r="AV4" i="2"/>
  <c r="AV5" i="2"/>
  <c r="AV6" i="2"/>
  <c r="AV7" i="2"/>
  <c r="AV8" i="2"/>
  <c r="AV9" i="2"/>
  <c r="AV10" i="2"/>
  <c r="AV11" i="2"/>
  <c r="AV12" i="2"/>
  <c r="AV13" i="2"/>
  <c r="AV14" i="2"/>
  <c r="AV15" i="2"/>
  <c r="AV16" i="2"/>
  <c r="AV17" i="2"/>
  <c r="AV18" i="2"/>
  <c r="AV19" i="2"/>
  <c r="AV20" i="2"/>
  <c r="AV21" i="2"/>
  <c r="AV22" i="2"/>
  <c r="AV23" i="2"/>
  <c r="AV24" i="2"/>
  <c r="AV25" i="2"/>
  <c r="AV26" i="2"/>
  <c r="AV27" i="2"/>
  <c r="AV28" i="2"/>
  <c r="AV29" i="2"/>
  <c r="AV30" i="2"/>
  <c r="AV31" i="2"/>
  <c r="AV32" i="2"/>
  <c r="AV33" i="2"/>
  <c r="AV34" i="2"/>
  <c r="AV35" i="2"/>
  <c r="AV36" i="2"/>
  <c r="AV37" i="2"/>
  <c r="AV38" i="2"/>
  <c r="AV39" i="2"/>
  <c r="AV40" i="2"/>
  <c r="AV41" i="2"/>
  <c r="AV42" i="2"/>
  <c r="AV43" i="2"/>
  <c r="AV44" i="2"/>
  <c r="AV45" i="2"/>
  <c r="AV46" i="2"/>
  <c r="AV47" i="2"/>
  <c r="AV48" i="2"/>
  <c r="AV49" i="2"/>
  <c r="AV50" i="2"/>
  <c r="AV51" i="2"/>
  <c r="AV52" i="2"/>
  <c r="AV53" i="2"/>
  <c r="AV54" i="2"/>
  <c r="AV55" i="2"/>
  <c r="AV56" i="2"/>
  <c r="AV57" i="2"/>
  <c r="AV58" i="2"/>
  <c r="AV59" i="2"/>
  <c r="AV60" i="2"/>
  <c r="AV61" i="2"/>
  <c r="AV62" i="2"/>
  <c r="AV63" i="2"/>
  <c r="AV64" i="2"/>
  <c r="AV65" i="2"/>
  <c r="AV66" i="2"/>
  <c r="AV67" i="2"/>
  <c r="AV68" i="2"/>
  <c r="AV69" i="2"/>
  <c r="AV70" i="2"/>
  <c r="AV71" i="2"/>
  <c r="AV72" i="2"/>
  <c r="AV73" i="2"/>
  <c r="AV74" i="2"/>
  <c r="AV75" i="2"/>
  <c r="AV76" i="2"/>
  <c r="AV77" i="2"/>
  <c r="AV78" i="2"/>
  <c r="AV79" i="2"/>
  <c r="AV80" i="2"/>
  <c r="AV81" i="2"/>
  <c r="AV82" i="2"/>
  <c r="AV83" i="2"/>
  <c r="AV84" i="2"/>
  <c r="AV85" i="2"/>
  <c r="AV86" i="2"/>
  <c r="AV87" i="2"/>
  <c r="AV88" i="2"/>
  <c r="AV89" i="2"/>
  <c r="AV90" i="2"/>
  <c r="AV91" i="2"/>
  <c r="AV92" i="2"/>
  <c r="AV93" i="2"/>
  <c r="AV94" i="2"/>
  <c r="AV95" i="2"/>
  <c r="AV96" i="2"/>
  <c r="AV97" i="2"/>
  <c r="AV98" i="2"/>
  <c r="AV99" i="2"/>
  <c r="AV100" i="2"/>
  <c r="AV101" i="2"/>
  <c r="AV102" i="2"/>
  <c r="AV103" i="2"/>
  <c r="AV104" i="2"/>
  <c r="AV105" i="2"/>
  <c r="AV106" i="2"/>
  <c r="AV107" i="2"/>
  <c r="AV108" i="2"/>
  <c r="AV109" i="2"/>
  <c r="AV110" i="2"/>
  <c r="AV111" i="2"/>
  <c r="AV112" i="2"/>
  <c r="AV113" i="2"/>
  <c r="AV114" i="2"/>
  <c r="AV115" i="2"/>
  <c r="AV116" i="2"/>
  <c r="AV117" i="2"/>
  <c r="AV118" i="2"/>
  <c r="AV119" i="2"/>
  <c r="AV120" i="2"/>
  <c r="AV121" i="2"/>
  <c r="AV122" i="2"/>
  <c r="AV123" i="2"/>
  <c r="AV124" i="2"/>
  <c r="AV125" i="2"/>
  <c r="AV126" i="2"/>
  <c r="AV127" i="2"/>
  <c r="AV128" i="2"/>
  <c r="AV129" i="2"/>
  <c r="AV130" i="2"/>
  <c r="AV131" i="2"/>
  <c r="AV132" i="2"/>
  <c r="AV133" i="2"/>
  <c r="AV134" i="2"/>
  <c r="AV135" i="2"/>
  <c r="AV136" i="2"/>
  <c r="AV137" i="2"/>
  <c r="AV138" i="2"/>
  <c r="AV139" i="2"/>
  <c r="AV140" i="2"/>
  <c r="AV141" i="2"/>
  <c r="AV142" i="2"/>
  <c r="AV143" i="2"/>
  <c r="AV144" i="2"/>
  <c r="AV145" i="2"/>
  <c r="AV146" i="2"/>
  <c r="AV147" i="2"/>
  <c r="AV148" i="2"/>
  <c r="AV149" i="2"/>
  <c r="AV150" i="2"/>
  <c r="AV151" i="2"/>
  <c r="AV152" i="2"/>
  <c r="AV153" i="2"/>
  <c r="AV154" i="2"/>
  <c r="AV155" i="2"/>
  <c r="AV156" i="2"/>
  <c r="AV157" i="2"/>
  <c r="AV158" i="2"/>
  <c r="AV159" i="2"/>
  <c r="AV160" i="2"/>
  <c r="AV161" i="2"/>
  <c r="AV162" i="2"/>
  <c r="AV163" i="2"/>
  <c r="AV164" i="2"/>
  <c r="AV165" i="2"/>
  <c r="AV166" i="2"/>
  <c r="AV167" i="2"/>
  <c r="AV168" i="2"/>
  <c r="AV169" i="2"/>
  <c r="AV170" i="2"/>
  <c r="AV171" i="2"/>
  <c r="AV172" i="2"/>
  <c r="AV173" i="2"/>
  <c r="AV174" i="2"/>
  <c r="AV175" i="2"/>
  <c r="AV176" i="2"/>
  <c r="AV177" i="2"/>
  <c r="AV178" i="2"/>
  <c r="AV179" i="2"/>
  <c r="AV180" i="2"/>
  <c r="AV181" i="2"/>
  <c r="AV182" i="2"/>
  <c r="AV183" i="2"/>
  <c r="AN184" i="6" l="1"/>
  <c r="AP184" i="4"/>
  <c r="AV184" i="2"/>
  <c r="AV184" i="3"/>
  <c r="BD184" i="1"/>
  <c r="I184" i="1"/>
  <c r="M184" i="1"/>
  <c r="N184" i="1"/>
  <c r="X184" i="1"/>
  <c r="AA184" i="1"/>
  <c r="AC184" i="1"/>
  <c r="AE184" i="1"/>
  <c r="AG184" i="1"/>
  <c r="AI184" i="1"/>
  <c r="AK184" i="1"/>
  <c r="AM184" i="1"/>
  <c r="AO184" i="1"/>
  <c r="AQ184" i="1"/>
  <c r="AS184" i="1"/>
  <c r="AU184" i="1"/>
  <c r="AW184" i="1"/>
  <c r="AY184" i="1"/>
  <c r="BA184" i="1"/>
  <c r="BE184" i="1"/>
  <c r="F184" i="5" l="1"/>
  <c r="AP55" i="6" l="1"/>
  <c r="AQ54" i="6"/>
  <c r="AR181" i="4" l="1"/>
  <c r="AS181" i="4"/>
  <c r="AR182" i="4"/>
  <c r="AS182" i="4"/>
  <c r="AO28" i="6" l="1"/>
  <c r="AO29" i="6"/>
  <c r="AO30" i="6"/>
  <c r="AO31" i="6"/>
  <c r="AO32" i="6"/>
  <c r="AO33" i="6"/>
  <c r="AO34" i="6"/>
  <c r="AO35" i="6"/>
  <c r="AO36" i="6"/>
  <c r="AO44" i="6"/>
  <c r="AO45" i="6"/>
  <c r="AO46" i="6"/>
  <c r="AO47" i="6"/>
  <c r="AO48" i="6"/>
  <c r="AO49" i="6"/>
  <c r="AO50" i="6"/>
  <c r="AO51" i="6"/>
  <c r="AO52" i="6"/>
  <c r="AO53" i="6"/>
  <c r="AO54" i="6"/>
  <c r="AO55" i="6"/>
  <c r="AO95" i="6"/>
  <c r="AO96" i="6"/>
  <c r="AO97" i="6"/>
  <c r="AO98" i="6"/>
  <c r="AQ2" i="4"/>
  <c r="AQ3" i="4"/>
  <c r="AQ4" i="4"/>
  <c r="AQ5" i="4"/>
  <c r="AQ6" i="4"/>
  <c r="AQ7" i="4"/>
  <c r="AQ8" i="4"/>
  <c r="AQ9" i="4"/>
  <c r="AQ10" i="4"/>
  <c r="AQ11" i="4"/>
  <c r="AQ12" i="4"/>
  <c r="AQ13" i="4"/>
  <c r="AQ14" i="4"/>
  <c r="AQ15" i="4"/>
  <c r="AQ16" i="4"/>
  <c r="AQ17" i="4"/>
  <c r="AQ18" i="4"/>
  <c r="AQ19" i="4"/>
  <c r="AQ20" i="4"/>
  <c r="AQ21" i="4"/>
  <c r="AQ22" i="4"/>
  <c r="AQ23" i="4"/>
  <c r="AQ24" i="4"/>
  <c r="AQ25" i="4"/>
  <c r="AQ26" i="4"/>
  <c r="AQ27" i="4"/>
  <c r="AQ37" i="4"/>
  <c r="AQ38" i="4"/>
  <c r="AQ39" i="4"/>
  <c r="AQ40" i="4"/>
  <c r="AQ41" i="4"/>
  <c r="AQ42" i="4"/>
  <c r="AQ43" i="4"/>
  <c r="AQ56" i="4"/>
  <c r="AQ57" i="4"/>
  <c r="AQ58" i="4"/>
  <c r="AQ59" i="4"/>
  <c r="AQ60" i="4"/>
  <c r="AQ61" i="4"/>
  <c r="AQ62" i="4"/>
  <c r="AQ63" i="4"/>
  <c r="AQ64" i="4"/>
  <c r="AQ65" i="4"/>
  <c r="AQ66" i="4"/>
  <c r="AQ67" i="4"/>
  <c r="AQ68" i="4"/>
  <c r="AQ69" i="4"/>
  <c r="AQ70" i="4"/>
  <c r="AQ71" i="4"/>
  <c r="AQ72" i="4"/>
  <c r="AQ73" i="4"/>
  <c r="AQ74" i="4"/>
  <c r="AQ75" i="4"/>
  <c r="AQ76" i="4"/>
  <c r="AQ77" i="4"/>
  <c r="AQ78" i="4"/>
  <c r="AQ79" i="4"/>
  <c r="AQ80" i="4"/>
  <c r="AQ81" i="4"/>
  <c r="AQ82" i="4"/>
  <c r="AQ83" i="4"/>
  <c r="AQ84" i="4"/>
  <c r="AQ85" i="4"/>
  <c r="AQ86" i="4"/>
  <c r="AQ87" i="4"/>
  <c r="AQ88" i="4"/>
  <c r="AQ89" i="4"/>
  <c r="AQ90" i="4"/>
  <c r="AQ91" i="4"/>
  <c r="AQ92" i="4"/>
  <c r="AQ93" i="4"/>
  <c r="AQ94" i="4"/>
  <c r="AQ99" i="4"/>
  <c r="AQ100" i="4"/>
  <c r="AQ101" i="4"/>
  <c r="AQ102" i="4"/>
  <c r="AQ103" i="4"/>
  <c r="AQ104" i="4"/>
  <c r="AQ105" i="4"/>
  <c r="AQ106" i="4"/>
  <c r="AQ107" i="4"/>
  <c r="AQ108" i="4"/>
  <c r="AQ109" i="4"/>
  <c r="AQ110" i="4"/>
  <c r="AQ111" i="4"/>
  <c r="AQ112" i="4"/>
  <c r="AQ113" i="4"/>
  <c r="AQ114" i="4"/>
  <c r="AQ115" i="4"/>
  <c r="AQ116" i="4"/>
  <c r="AQ117" i="4"/>
  <c r="AQ118" i="4"/>
  <c r="AQ119" i="4"/>
  <c r="AQ120" i="4"/>
  <c r="AQ121" i="4"/>
  <c r="AQ122" i="4"/>
  <c r="AQ123" i="4"/>
  <c r="AQ124" i="4"/>
  <c r="AQ125" i="4"/>
  <c r="AQ126" i="4"/>
  <c r="AQ127" i="4"/>
  <c r="AQ128" i="4"/>
  <c r="AQ129" i="4"/>
  <c r="AQ130" i="4"/>
  <c r="AQ131" i="4"/>
  <c r="AQ132" i="4"/>
  <c r="AQ133" i="4"/>
  <c r="AQ134" i="4"/>
  <c r="AQ135" i="4"/>
  <c r="AQ136" i="4"/>
  <c r="AQ137" i="4"/>
  <c r="AQ138" i="4"/>
  <c r="AQ139" i="4"/>
  <c r="AQ140" i="4"/>
  <c r="AQ141" i="4"/>
  <c r="AQ142" i="4"/>
  <c r="AQ143" i="4"/>
  <c r="AQ144" i="4"/>
  <c r="AQ145" i="4"/>
  <c r="AQ146" i="4"/>
  <c r="AQ147" i="4"/>
  <c r="AQ148" i="4"/>
  <c r="AQ149" i="4"/>
  <c r="AQ150" i="4"/>
  <c r="AQ151" i="4"/>
  <c r="AQ152" i="4"/>
  <c r="AQ153" i="4"/>
  <c r="AQ154" i="4"/>
  <c r="AQ155" i="4"/>
  <c r="AQ156" i="4"/>
  <c r="AQ157" i="4"/>
  <c r="AQ158" i="4"/>
  <c r="AQ159" i="4"/>
  <c r="AQ160" i="4"/>
  <c r="AQ161" i="4"/>
  <c r="AQ162" i="4"/>
  <c r="AQ163" i="4"/>
  <c r="AQ164" i="4"/>
  <c r="AQ165" i="4"/>
  <c r="AQ166" i="4"/>
  <c r="AQ167" i="4"/>
  <c r="AQ168" i="4"/>
  <c r="AQ169" i="4"/>
  <c r="AQ170" i="4"/>
  <c r="AQ171" i="4"/>
  <c r="AQ172" i="4"/>
  <c r="AQ173" i="4"/>
  <c r="AQ174" i="4"/>
  <c r="AQ175" i="4"/>
  <c r="AQ176" i="4"/>
  <c r="AQ177" i="4"/>
  <c r="AQ178" i="4"/>
  <c r="AQ179" i="4"/>
  <c r="AQ180" i="4"/>
  <c r="AQ181" i="4"/>
  <c r="AQ182" i="4"/>
  <c r="AQ183" i="4"/>
  <c r="AW2" i="3"/>
  <c r="AW3" i="3"/>
  <c r="AW4" i="3"/>
  <c r="AW5" i="3"/>
  <c r="AW6" i="3"/>
  <c r="AW7" i="3"/>
  <c r="AW8" i="3"/>
  <c r="AW9" i="3"/>
  <c r="AW10" i="3"/>
  <c r="AW11" i="3"/>
  <c r="AW12" i="3"/>
  <c r="AW13" i="3"/>
  <c r="AW14" i="3"/>
  <c r="AW15" i="3"/>
  <c r="AW16" i="3"/>
  <c r="AW17" i="3"/>
  <c r="AW18" i="3"/>
  <c r="AW19" i="3"/>
  <c r="AW20" i="3"/>
  <c r="AW21" i="3"/>
  <c r="AW22" i="3"/>
  <c r="AW23" i="3"/>
  <c r="AW24" i="3"/>
  <c r="AW25" i="3"/>
  <c r="AW26" i="3"/>
  <c r="AW27" i="3"/>
  <c r="AW28" i="3"/>
  <c r="AW29" i="3"/>
  <c r="AW30" i="3"/>
  <c r="AW31" i="3"/>
  <c r="AW32" i="3"/>
  <c r="AW33" i="3"/>
  <c r="AW34" i="3"/>
  <c r="AW35" i="3"/>
  <c r="AW36" i="3"/>
  <c r="AW37" i="3"/>
  <c r="AW38" i="3"/>
  <c r="AW39" i="3"/>
  <c r="AW40" i="3"/>
  <c r="AW41" i="3"/>
  <c r="AW42" i="3"/>
  <c r="AW43" i="3"/>
  <c r="AW44" i="3"/>
  <c r="AW45" i="3"/>
  <c r="AW46" i="3"/>
  <c r="AW47" i="3"/>
  <c r="AW48" i="3"/>
  <c r="AW49" i="3"/>
  <c r="AW50" i="3"/>
  <c r="AW51" i="3"/>
  <c r="AW52" i="3"/>
  <c r="AW53" i="3"/>
  <c r="AW54" i="3"/>
  <c r="AW55" i="3"/>
  <c r="AW56" i="3"/>
  <c r="AW57" i="3"/>
  <c r="AW58" i="3"/>
  <c r="AW59" i="3"/>
  <c r="AW60" i="3"/>
  <c r="AW61" i="3"/>
  <c r="AW62" i="3"/>
  <c r="AW63" i="3"/>
  <c r="AW64" i="3"/>
  <c r="AW65" i="3"/>
  <c r="AW66" i="3"/>
  <c r="AW67" i="3"/>
  <c r="AW68" i="3"/>
  <c r="AW69" i="3"/>
  <c r="AW70" i="3"/>
  <c r="AW71" i="3"/>
  <c r="AW72" i="3"/>
  <c r="AW73" i="3"/>
  <c r="AW74" i="3"/>
  <c r="AW75" i="3"/>
  <c r="AW76" i="3"/>
  <c r="AW77" i="3"/>
  <c r="AW78" i="3"/>
  <c r="AW79" i="3"/>
  <c r="AW80" i="3"/>
  <c r="AW81" i="3"/>
  <c r="AW82" i="3"/>
  <c r="AW83" i="3"/>
  <c r="AW84" i="3"/>
  <c r="AW85" i="3"/>
  <c r="AW86" i="3"/>
  <c r="AW87" i="3"/>
  <c r="AW88" i="3"/>
  <c r="AW89" i="3"/>
  <c r="AW90" i="3"/>
  <c r="AW91" i="3"/>
  <c r="AW92" i="3"/>
  <c r="AW93" i="3"/>
  <c r="AW94" i="3"/>
  <c r="AW95" i="3"/>
  <c r="AW96" i="3"/>
  <c r="AW97" i="3"/>
  <c r="AW98" i="3"/>
  <c r="AW99" i="3"/>
  <c r="AW100" i="3"/>
  <c r="AW101" i="3"/>
  <c r="AW102" i="3"/>
  <c r="AW103" i="3"/>
  <c r="AW104" i="3"/>
  <c r="AW105" i="3"/>
  <c r="AW106" i="3"/>
  <c r="AW107" i="3"/>
  <c r="AW108" i="3"/>
  <c r="AW109" i="3"/>
  <c r="AW110" i="3"/>
  <c r="AW111" i="3"/>
  <c r="AW112" i="3"/>
  <c r="AW113" i="3"/>
  <c r="AW114" i="3"/>
  <c r="AW115" i="3"/>
  <c r="AW116" i="3"/>
  <c r="AW117" i="3"/>
  <c r="AW118" i="3"/>
  <c r="AW119" i="3"/>
  <c r="AW120" i="3"/>
  <c r="AW121" i="3"/>
  <c r="AW122" i="3"/>
  <c r="AW123" i="3"/>
  <c r="AW124" i="3"/>
  <c r="AW125" i="3"/>
  <c r="AW126" i="3"/>
  <c r="AW127" i="3"/>
  <c r="AW128" i="3"/>
  <c r="AW129" i="3"/>
  <c r="AW130" i="3"/>
  <c r="AW131" i="3"/>
  <c r="AW132" i="3"/>
  <c r="AW133" i="3"/>
  <c r="AW134" i="3"/>
  <c r="AW135" i="3"/>
  <c r="AW136" i="3"/>
  <c r="AW137" i="3"/>
  <c r="AW138" i="3"/>
  <c r="AW139" i="3"/>
  <c r="AW140" i="3"/>
  <c r="AW141" i="3"/>
  <c r="AW142" i="3"/>
  <c r="AW143" i="3"/>
  <c r="AW144" i="3"/>
  <c r="AW145" i="3"/>
  <c r="AW146" i="3"/>
  <c r="AW147" i="3"/>
  <c r="AW148" i="3"/>
  <c r="AW149" i="3"/>
  <c r="AW150" i="3"/>
  <c r="AW151" i="3"/>
  <c r="AW152" i="3"/>
  <c r="AW153" i="3"/>
  <c r="AW154" i="3"/>
  <c r="AW155" i="3"/>
  <c r="AW156" i="3"/>
  <c r="AW157" i="3"/>
  <c r="AW158" i="3"/>
  <c r="AW159" i="3"/>
  <c r="AW160" i="3"/>
  <c r="AW161" i="3"/>
  <c r="AW162" i="3"/>
  <c r="AW163" i="3"/>
  <c r="AW164" i="3"/>
  <c r="AW165" i="3"/>
  <c r="AW166" i="3"/>
  <c r="AW167" i="3"/>
  <c r="AW168" i="3"/>
  <c r="AW169" i="3"/>
  <c r="AW170" i="3"/>
  <c r="AW171" i="3"/>
  <c r="AW172" i="3"/>
  <c r="AW173" i="3"/>
  <c r="AW174" i="3"/>
  <c r="AW175" i="3"/>
  <c r="AW176" i="3"/>
  <c r="AW177" i="3"/>
  <c r="AW178" i="3"/>
  <c r="AW179" i="3"/>
  <c r="AW180" i="3"/>
  <c r="AW181" i="3"/>
  <c r="AW182" i="3"/>
  <c r="AW183" i="3"/>
  <c r="AW2" i="2"/>
  <c r="AW3" i="2"/>
  <c r="AW4" i="2"/>
  <c r="AW5" i="2"/>
  <c r="AW6" i="2"/>
  <c r="AW7" i="2"/>
  <c r="AW8" i="2"/>
  <c r="AW9" i="2"/>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W66" i="2"/>
  <c r="AW67" i="2"/>
  <c r="AW68" i="2"/>
  <c r="AW69" i="2"/>
  <c r="AW70" i="2"/>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AW109" i="2"/>
  <c r="AW110" i="2"/>
  <c r="AW111" i="2"/>
  <c r="AW112" i="2"/>
  <c r="AW113" i="2"/>
  <c r="AW114" i="2"/>
  <c r="AW115" i="2"/>
  <c r="AW116" i="2"/>
  <c r="AW117" i="2"/>
  <c r="AW118" i="2"/>
  <c r="AW119" i="2"/>
  <c r="AW120" i="2"/>
  <c r="AW121" i="2"/>
  <c r="AW122" i="2"/>
  <c r="AW123" i="2"/>
  <c r="AW124" i="2"/>
  <c r="AW125" i="2"/>
  <c r="AW126" i="2"/>
  <c r="AW127" i="2"/>
  <c r="AW128" i="2"/>
  <c r="AW129" i="2"/>
  <c r="AW130" i="2"/>
  <c r="AW131" i="2"/>
  <c r="AW132" i="2"/>
  <c r="AW133" i="2"/>
  <c r="AW134" i="2"/>
  <c r="AW135" i="2"/>
  <c r="AW136" i="2"/>
  <c r="AW137" i="2"/>
  <c r="AW138" i="2"/>
  <c r="AW139" i="2"/>
  <c r="AW140" i="2"/>
  <c r="AW141" i="2"/>
  <c r="AW142" i="2"/>
  <c r="AW143" i="2"/>
  <c r="AW144" i="2"/>
  <c r="AW145" i="2"/>
  <c r="AW146" i="2"/>
  <c r="AW147" i="2"/>
  <c r="AW148" i="2"/>
  <c r="AW149" i="2"/>
  <c r="AW150" i="2"/>
  <c r="AW151" i="2"/>
  <c r="AW152" i="2"/>
  <c r="AW153" i="2"/>
  <c r="AW154" i="2"/>
  <c r="AW155" i="2"/>
  <c r="AW156" i="2"/>
  <c r="AW157" i="2"/>
  <c r="AW158" i="2"/>
  <c r="AW159" i="2"/>
  <c r="AW160" i="2"/>
  <c r="AW161" i="2"/>
  <c r="AW162" i="2"/>
  <c r="AW163" i="2"/>
  <c r="AW164" i="2"/>
  <c r="AW165" i="2"/>
  <c r="AW166" i="2"/>
  <c r="AW167" i="2"/>
  <c r="AW168" i="2"/>
  <c r="AW169" i="2"/>
  <c r="AW170" i="2"/>
  <c r="AW171" i="2"/>
  <c r="AW172" i="2"/>
  <c r="AW173" i="2"/>
  <c r="AW174" i="2"/>
  <c r="AW175" i="2"/>
  <c r="AW176" i="2"/>
  <c r="AW177" i="2"/>
  <c r="AW178" i="2"/>
  <c r="AW179" i="2"/>
  <c r="AW180" i="2"/>
  <c r="AW181" i="2"/>
  <c r="AW182" i="2"/>
  <c r="AW183" i="2"/>
  <c r="A184" i="5"/>
  <c r="T30" i="3"/>
  <c r="T2" i="3"/>
  <c r="T3" i="3"/>
  <c r="T4" i="3"/>
  <c r="T5" i="3"/>
  <c r="T6" i="3"/>
  <c r="T7" i="3"/>
  <c r="T8" i="3"/>
  <c r="T9" i="3"/>
  <c r="T10" i="3"/>
  <c r="T11" i="3"/>
  <c r="T12" i="3"/>
  <c r="T13" i="3"/>
  <c r="T14" i="3"/>
  <c r="T15" i="3"/>
  <c r="T16" i="3"/>
  <c r="T17" i="3"/>
  <c r="T18" i="3"/>
  <c r="T19" i="3"/>
  <c r="T20" i="3"/>
  <c r="T21" i="3"/>
  <c r="T22" i="3"/>
  <c r="T23" i="3"/>
  <c r="T24" i="3"/>
  <c r="T25" i="3"/>
  <c r="T26" i="3"/>
  <c r="T27" i="3"/>
  <c r="T28" i="3"/>
  <c r="T29"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00" i="3"/>
  <c r="T101" i="3"/>
  <c r="T102" i="3"/>
  <c r="T103" i="3"/>
  <c r="T104" i="3"/>
  <c r="T105" i="3"/>
  <c r="T106" i="3"/>
  <c r="T107" i="3"/>
  <c r="T108" i="3"/>
  <c r="T109" i="3"/>
  <c r="T110" i="3"/>
  <c r="T111" i="3"/>
  <c r="T112" i="3"/>
  <c r="T113" i="3"/>
  <c r="T114" i="3"/>
  <c r="T115" i="3"/>
  <c r="T116" i="3"/>
  <c r="T117" i="3"/>
  <c r="T118" i="3"/>
  <c r="T119" i="3"/>
  <c r="T120" i="3"/>
  <c r="T121" i="3"/>
  <c r="T122" i="3"/>
  <c r="T123" i="3"/>
  <c r="T124" i="3"/>
  <c r="T125" i="3"/>
  <c r="T126" i="3"/>
  <c r="T127" i="3"/>
  <c r="T128" i="3"/>
  <c r="T129" i="3"/>
  <c r="T130" i="3"/>
  <c r="T131" i="3"/>
  <c r="T132" i="3"/>
  <c r="T133" i="3"/>
  <c r="T134" i="3"/>
  <c r="T135" i="3"/>
  <c r="T136" i="3"/>
  <c r="T137" i="3"/>
  <c r="T138" i="3"/>
  <c r="T139" i="3"/>
  <c r="T140" i="3"/>
  <c r="T141" i="3"/>
  <c r="T142" i="3"/>
  <c r="T143" i="3"/>
  <c r="T144" i="3"/>
  <c r="T145" i="3"/>
  <c r="T146" i="3"/>
  <c r="T147" i="3"/>
  <c r="T148" i="3"/>
  <c r="T149" i="3"/>
  <c r="T150" i="3"/>
  <c r="T151" i="3"/>
  <c r="T152" i="3"/>
  <c r="T153" i="3"/>
  <c r="T154" i="3"/>
  <c r="T155" i="3"/>
  <c r="T156" i="3"/>
  <c r="T157" i="3"/>
  <c r="T158" i="3"/>
  <c r="T159" i="3"/>
  <c r="T160" i="3"/>
  <c r="T161" i="3"/>
  <c r="T162" i="3"/>
  <c r="T163" i="3"/>
  <c r="T164" i="3"/>
  <c r="T165" i="3"/>
  <c r="T166" i="3"/>
  <c r="T167" i="3"/>
  <c r="T168" i="3"/>
  <c r="T169" i="3"/>
  <c r="T170" i="3"/>
  <c r="T171" i="3"/>
  <c r="T172" i="3"/>
  <c r="T173" i="3"/>
  <c r="T174" i="3"/>
  <c r="T175" i="3"/>
  <c r="T176" i="3"/>
  <c r="T177" i="3"/>
  <c r="T178" i="3"/>
  <c r="T179" i="3"/>
  <c r="T180" i="3"/>
  <c r="T181" i="3"/>
  <c r="T182" i="3"/>
  <c r="T183" i="3"/>
  <c r="K57" i="5"/>
  <c r="K67" i="5"/>
  <c r="K170" i="5"/>
  <c r="K175" i="5"/>
  <c r="K183" i="5"/>
  <c r="K182" i="5"/>
  <c r="K139" i="5"/>
  <c r="K151" i="5"/>
  <c r="K152" i="5"/>
  <c r="K160" i="5"/>
  <c r="K89" i="5"/>
  <c r="K73" i="5"/>
  <c r="K15" i="5"/>
  <c r="K137" i="5"/>
  <c r="K90" i="5"/>
  <c r="K132" i="5"/>
  <c r="K124" i="5"/>
  <c r="K108" i="5"/>
  <c r="K34" i="5"/>
  <c r="K37" i="5"/>
  <c r="K24" i="5"/>
  <c r="K28" i="5"/>
  <c r="K174" i="5"/>
  <c r="K148" i="5"/>
  <c r="K102" i="5"/>
  <c r="K110" i="5"/>
  <c r="K142" i="5"/>
  <c r="K145" i="5"/>
  <c r="K99" i="5"/>
  <c r="K116" i="5"/>
  <c r="K130" i="5"/>
  <c r="K81" i="5"/>
  <c r="K96" i="5"/>
  <c r="K31" i="5"/>
  <c r="K5" i="5"/>
  <c r="K7" i="5"/>
  <c r="K95" i="5"/>
  <c r="K46" i="5"/>
  <c r="K59" i="5"/>
  <c r="K36" i="5"/>
  <c r="K118" i="5"/>
  <c r="K29" i="5"/>
  <c r="K63" i="5"/>
  <c r="K6" i="5"/>
  <c r="K21" i="5"/>
  <c r="K40" i="5"/>
  <c r="K3" i="5"/>
  <c r="K60" i="5"/>
  <c r="K107" i="5"/>
  <c r="K169" i="5"/>
  <c r="K141" i="5"/>
  <c r="K140" i="5"/>
  <c r="K79" i="5"/>
  <c r="K176" i="5"/>
  <c r="K149" i="5"/>
  <c r="K109" i="5"/>
  <c r="K75" i="5"/>
  <c r="K80" i="5"/>
  <c r="K83" i="5"/>
  <c r="K53" i="5"/>
  <c r="K158" i="5"/>
  <c r="K20" i="5"/>
  <c r="K84" i="5"/>
  <c r="K91" i="5"/>
  <c r="K165" i="5"/>
  <c r="K94" i="5"/>
  <c r="K33" i="5"/>
  <c r="K78" i="5"/>
  <c r="K131" i="5"/>
  <c r="K164" i="5"/>
  <c r="K74" i="5"/>
  <c r="K122" i="5"/>
  <c r="K49" i="5"/>
  <c r="K114" i="5"/>
  <c r="K177" i="5"/>
  <c r="K56" i="5"/>
  <c r="K127" i="5"/>
  <c r="K52" i="5"/>
  <c r="K44" i="5"/>
  <c r="K146" i="5"/>
  <c r="K120" i="5"/>
  <c r="K50" i="5"/>
  <c r="K18" i="5"/>
  <c r="K11" i="5"/>
  <c r="K13" i="5"/>
  <c r="K25" i="5"/>
  <c r="K10" i="5"/>
  <c r="K76" i="5"/>
  <c r="K171" i="5"/>
  <c r="K86" i="5"/>
  <c r="K58" i="5"/>
  <c r="K159" i="5"/>
  <c r="K117" i="5"/>
  <c r="K23" i="5"/>
  <c r="K162" i="5"/>
  <c r="K92" i="5"/>
  <c r="K87" i="5"/>
  <c r="K125" i="5"/>
  <c r="K55" i="5"/>
  <c r="K82" i="5"/>
  <c r="K38" i="5"/>
  <c r="K181" i="5"/>
  <c r="K2" i="5"/>
  <c r="K8" i="5"/>
  <c r="K77" i="5"/>
  <c r="K69" i="5"/>
  <c r="K19" i="5"/>
  <c r="K68" i="5"/>
  <c r="K62" i="5"/>
  <c r="K119" i="5"/>
  <c r="K64" i="5"/>
  <c r="K106" i="5"/>
  <c r="K22" i="5"/>
  <c r="K17" i="5"/>
  <c r="K71" i="5"/>
  <c r="K97" i="5"/>
  <c r="K104" i="5"/>
  <c r="K93" i="5"/>
  <c r="K39" i="5"/>
  <c r="K41" i="5"/>
  <c r="K70" i="5"/>
  <c r="K150" i="5"/>
  <c r="K111" i="5"/>
  <c r="K101" i="5"/>
  <c r="K135" i="5"/>
  <c r="K105" i="5"/>
  <c r="K32" i="5"/>
  <c r="K30" i="5"/>
  <c r="K4" i="5"/>
  <c r="K9" i="5"/>
  <c r="K54" i="5"/>
  <c r="K26" i="5"/>
  <c r="K47" i="5"/>
  <c r="K51" i="5"/>
  <c r="K123" i="5"/>
  <c r="K66" i="5"/>
  <c r="K85" i="5"/>
  <c r="K133" i="5"/>
  <c r="K157" i="5"/>
  <c r="K43" i="5"/>
  <c r="K45" i="5"/>
  <c r="K136" i="5"/>
  <c r="K134" i="5"/>
  <c r="K72" i="5"/>
  <c r="K143" i="5"/>
  <c r="K138" i="5"/>
  <c r="K161" i="5"/>
  <c r="K126" i="5"/>
  <c r="K168" i="5"/>
  <c r="K179" i="5"/>
  <c r="K112" i="5"/>
  <c r="K61" i="5"/>
  <c r="K16" i="5"/>
  <c r="K12" i="5"/>
  <c r="K166" i="5"/>
  <c r="K113" i="5"/>
  <c r="K98" i="5"/>
  <c r="K156" i="5"/>
  <c r="K103" i="5"/>
  <c r="K88" i="5"/>
  <c r="K121" i="5"/>
  <c r="K167" i="5"/>
  <c r="K154" i="5"/>
  <c r="K178" i="5"/>
  <c r="K155" i="5"/>
  <c r="K48" i="5"/>
  <c r="K100" i="5"/>
  <c r="K35" i="5"/>
  <c r="K173" i="5"/>
  <c r="K172" i="5"/>
  <c r="K163" i="5"/>
  <c r="K128" i="5"/>
  <c r="K153" i="5"/>
  <c r="K147" i="5"/>
  <c r="K180" i="5"/>
  <c r="K144" i="5"/>
  <c r="K115" i="5"/>
  <c r="K65" i="5"/>
  <c r="K42" i="5"/>
  <c r="K27" i="5"/>
  <c r="K129" i="5"/>
  <c r="AW184" i="3" l="1"/>
  <c r="AO184" i="6"/>
  <c r="AQ184" i="4"/>
  <c r="AW184" i="2"/>
  <c r="AY182" i="3" l="1"/>
  <c r="AX182" i="3"/>
  <c r="AY2" i="3"/>
  <c r="AY3" i="3"/>
  <c r="AY4" i="3"/>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Y140" i="3"/>
  <c r="AY141" i="3"/>
  <c r="AY142" i="3"/>
  <c r="AY143" i="3"/>
  <c r="AY144" i="3"/>
  <c r="AY145" i="3"/>
  <c r="AY146" i="3"/>
  <c r="AY147" i="3"/>
  <c r="AY148" i="3"/>
  <c r="AY149" i="3"/>
  <c r="AY150" i="3"/>
  <c r="AY151" i="3"/>
  <c r="AY152" i="3"/>
  <c r="AY153" i="3"/>
  <c r="AY154" i="3"/>
  <c r="AY155" i="3"/>
  <c r="AY156" i="3"/>
  <c r="AY157" i="3"/>
  <c r="AY158" i="3"/>
  <c r="AY159" i="3"/>
  <c r="AY160" i="3"/>
  <c r="AY161" i="3"/>
  <c r="AY162" i="3"/>
  <c r="AY163" i="3"/>
  <c r="AY164" i="3"/>
  <c r="AY165" i="3"/>
  <c r="AY166" i="3"/>
  <c r="AY167" i="3"/>
  <c r="AY168" i="3"/>
  <c r="AY169" i="3"/>
  <c r="AY170" i="3"/>
  <c r="AY171" i="3"/>
  <c r="AY172" i="3"/>
  <c r="AY173" i="3"/>
  <c r="AY174" i="3"/>
  <c r="AY175" i="3"/>
  <c r="AY176" i="3"/>
  <c r="AY177" i="3"/>
  <c r="AY178" i="3"/>
  <c r="AY179" i="3"/>
  <c r="AY180" i="3"/>
  <c r="AY181" i="3"/>
  <c r="AY183" i="3"/>
  <c r="AX2" i="3"/>
  <c r="AX3" i="3"/>
  <c r="AX4" i="3"/>
  <c r="AX5" i="3"/>
  <c r="AX6" i="3"/>
  <c r="AX7" i="3"/>
  <c r="AX8" i="3"/>
  <c r="AX9" i="3"/>
  <c r="AX10" i="3"/>
  <c r="AX11" i="3"/>
  <c r="AX12" i="3"/>
  <c r="AX13" i="3"/>
  <c r="AX14" i="3"/>
  <c r="AX15" i="3"/>
  <c r="AX16" i="3"/>
  <c r="AX17" i="3"/>
  <c r="AX18" i="3"/>
  <c r="AX19" i="3"/>
  <c r="AX20" i="3"/>
  <c r="AX21" i="3"/>
  <c r="AX22" i="3"/>
  <c r="AX23" i="3"/>
  <c r="AX24" i="3"/>
  <c r="AX25" i="3"/>
  <c r="AX26" i="3"/>
  <c r="AX27" i="3"/>
  <c r="AX28" i="3"/>
  <c r="AX29" i="3"/>
  <c r="AX30" i="3"/>
  <c r="AX31" i="3"/>
  <c r="AX32" i="3"/>
  <c r="AX33" i="3"/>
  <c r="AX34" i="3"/>
  <c r="AX35" i="3"/>
  <c r="AX36" i="3"/>
  <c r="AX37" i="3"/>
  <c r="AX38" i="3"/>
  <c r="AX39" i="3"/>
  <c r="AX40" i="3"/>
  <c r="AX41" i="3"/>
  <c r="AX42" i="3"/>
  <c r="AX43" i="3"/>
  <c r="AX44" i="3"/>
  <c r="AX45" i="3"/>
  <c r="AX46" i="3"/>
  <c r="AX47" i="3"/>
  <c r="AX48" i="3"/>
  <c r="AX49" i="3"/>
  <c r="AX50" i="3"/>
  <c r="AX51" i="3"/>
  <c r="AX52" i="3"/>
  <c r="AX53" i="3"/>
  <c r="AX54" i="3"/>
  <c r="AX55" i="3"/>
  <c r="AX56" i="3"/>
  <c r="AX57" i="3"/>
  <c r="AX58" i="3"/>
  <c r="AX59" i="3"/>
  <c r="AX60" i="3"/>
  <c r="AX61" i="3"/>
  <c r="AX62" i="3"/>
  <c r="AX63" i="3"/>
  <c r="AX64" i="3"/>
  <c r="AX65" i="3"/>
  <c r="AX66" i="3"/>
  <c r="AX67" i="3"/>
  <c r="AX68" i="3"/>
  <c r="AX69" i="3"/>
  <c r="AX70" i="3"/>
  <c r="AX71" i="3"/>
  <c r="AX72" i="3"/>
  <c r="AX73" i="3"/>
  <c r="AX74" i="3"/>
  <c r="AX75" i="3"/>
  <c r="AX76" i="3"/>
  <c r="AX77" i="3"/>
  <c r="AX78" i="3"/>
  <c r="AX79" i="3"/>
  <c r="AX80" i="3"/>
  <c r="AX81" i="3"/>
  <c r="AX82" i="3"/>
  <c r="AX83" i="3"/>
  <c r="AX84" i="3"/>
  <c r="AX85" i="3"/>
  <c r="AX86" i="3"/>
  <c r="AX87" i="3"/>
  <c r="AX88" i="3"/>
  <c r="AX89" i="3"/>
  <c r="AX90" i="3"/>
  <c r="AX91" i="3"/>
  <c r="AX92" i="3"/>
  <c r="AX93" i="3"/>
  <c r="AX94" i="3"/>
  <c r="AX95" i="3"/>
  <c r="AX96" i="3"/>
  <c r="AX97" i="3"/>
  <c r="AX98" i="3"/>
  <c r="AX99" i="3"/>
  <c r="AX100" i="3"/>
  <c r="AX101" i="3"/>
  <c r="AX102" i="3"/>
  <c r="AX103" i="3"/>
  <c r="AX104" i="3"/>
  <c r="AX105" i="3"/>
  <c r="AX106" i="3"/>
  <c r="AX107" i="3"/>
  <c r="AX108" i="3"/>
  <c r="AX109" i="3"/>
  <c r="AX110" i="3"/>
  <c r="AX111" i="3"/>
  <c r="AX112" i="3"/>
  <c r="AX113" i="3"/>
  <c r="AX114" i="3"/>
  <c r="AX115" i="3"/>
  <c r="AX116" i="3"/>
  <c r="AX117" i="3"/>
  <c r="AX118" i="3"/>
  <c r="AX119" i="3"/>
  <c r="AX120" i="3"/>
  <c r="AX121" i="3"/>
  <c r="AX122" i="3"/>
  <c r="AX123" i="3"/>
  <c r="AX124" i="3"/>
  <c r="AX125" i="3"/>
  <c r="AX126" i="3"/>
  <c r="AX127" i="3"/>
  <c r="AX128" i="3"/>
  <c r="AX129" i="3"/>
  <c r="AX130" i="3"/>
  <c r="AX131" i="3"/>
  <c r="AX132" i="3"/>
  <c r="AX133" i="3"/>
  <c r="AX134" i="3"/>
  <c r="AX135" i="3"/>
  <c r="AX136" i="3"/>
  <c r="AX137" i="3"/>
  <c r="AX138" i="3"/>
  <c r="AX139" i="3"/>
  <c r="AX140" i="3"/>
  <c r="AX141" i="3"/>
  <c r="AX142" i="3"/>
  <c r="AX143" i="3"/>
  <c r="AX144" i="3"/>
  <c r="AX145" i="3"/>
  <c r="AX146" i="3"/>
  <c r="AX147" i="3"/>
  <c r="AX148" i="3"/>
  <c r="AX149" i="3"/>
  <c r="AX150" i="3"/>
  <c r="AX151" i="3"/>
  <c r="AX152" i="3"/>
  <c r="AX153" i="3"/>
  <c r="AX154" i="3"/>
  <c r="AX155" i="3"/>
  <c r="AX156" i="3"/>
  <c r="AX157" i="3"/>
  <c r="AX158" i="3"/>
  <c r="AX159" i="3"/>
  <c r="AX160" i="3"/>
  <c r="AX161" i="3"/>
  <c r="AX162" i="3"/>
  <c r="AX163" i="3"/>
  <c r="AX164" i="3"/>
  <c r="AX165" i="3"/>
  <c r="AX166" i="3"/>
  <c r="AX167" i="3"/>
  <c r="AX168" i="3"/>
  <c r="AX169" i="3"/>
  <c r="AX170" i="3"/>
  <c r="AX171" i="3"/>
  <c r="AX172" i="3"/>
  <c r="AX173" i="3"/>
  <c r="AX174" i="3"/>
  <c r="AX175" i="3"/>
  <c r="AX176" i="3"/>
  <c r="AX177" i="3"/>
  <c r="AX178" i="3"/>
  <c r="AX179" i="3"/>
  <c r="AX180" i="3"/>
  <c r="AX181" i="3"/>
  <c r="AX183" i="3"/>
  <c r="AY182" i="2"/>
  <c r="AY2" i="2"/>
  <c r="AY3" i="2"/>
  <c r="AY4" i="2"/>
  <c r="AY5" i="2"/>
  <c r="AY6" i="2"/>
  <c r="AY7" i="2"/>
  <c r="AY8" i="2"/>
  <c r="AY9" i="2"/>
  <c r="AY10" i="2"/>
  <c r="AY11" i="2"/>
  <c r="AY12" i="2"/>
  <c r="AY13" i="2"/>
  <c r="AY14" i="2"/>
  <c r="AY15" i="2"/>
  <c r="AY16" i="2"/>
  <c r="AY17" i="2"/>
  <c r="AY18" i="2"/>
  <c r="AY19" i="2"/>
  <c r="AY20" i="2"/>
  <c r="AY21" i="2"/>
  <c r="AY22" i="2"/>
  <c r="AY23" i="2"/>
  <c r="AY24" i="2"/>
  <c r="AY25" i="2"/>
  <c r="AY26" i="2"/>
  <c r="AY27" i="2"/>
  <c r="AY28" i="2"/>
  <c r="AY29" i="2"/>
  <c r="AY30" i="2"/>
  <c r="AY31" i="2"/>
  <c r="AY32" i="2"/>
  <c r="AY33" i="2"/>
  <c r="AY34" i="2"/>
  <c r="AY35" i="2"/>
  <c r="AY36" i="2"/>
  <c r="AY37" i="2"/>
  <c r="AY38" i="2"/>
  <c r="AY39" i="2"/>
  <c r="AY40" i="2"/>
  <c r="AY41" i="2"/>
  <c r="AY42" i="2"/>
  <c r="AY43" i="2"/>
  <c r="AY44" i="2"/>
  <c r="AY45" i="2"/>
  <c r="AY46" i="2"/>
  <c r="AY47" i="2"/>
  <c r="AY48" i="2"/>
  <c r="AY49" i="2"/>
  <c r="AY50" i="2"/>
  <c r="AY51" i="2"/>
  <c r="AY52" i="2"/>
  <c r="AY53" i="2"/>
  <c r="AY54" i="2"/>
  <c r="AY55" i="2"/>
  <c r="AY56" i="2"/>
  <c r="AY57" i="2"/>
  <c r="AY58" i="2"/>
  <c r="AY59" i="2"/>
  <c r="AY60" i="2"/>
  <c r="AY61" i="2"/>
  <c r="AY62" i="2"/>
  <c r="AY63" i="2"/>
  <c r="AY64" i="2"/>
  <c r="AY65" i="2"/>
  <c r="AY66" i="2"/>
  <c r="AY67" i="2"/>
  <c r="AY68" i="2"/>
  <c r="AY69" i="2"/>
  <c r="AY70" i="2"/>
  <c r="AY71" i="2"/>
  <c r="AY72" i="2"/>
  <c r="AY73" i="2"/>
  <c r="AY74" i="2"/>
  <c r="AY75" i="2"/>
  <c r="AY76" i="2"/>
  <c r="AY77" i="2"/>
  <c r="AY78" i="2"/>
  <c r="AY79" i="2"/>
  <c r="AY80" i="2"/>
  <c r="AY81" i="2"/>
  <c r="AY82" i="2"/>
  <c r="AY83" i="2"/>
  <c r="AY84" i="2"/>
  <c r="AY85" i="2"/>
  <c r="AY86" i="2"/>
  <c r="AY87" i="2"/>
  <c r="AY88" i="2"/>
  <c r="AY89" i="2"/>
  <c r="AY90" i="2"/>
  <c r="AY91" i="2"/>
  <c r="AY92" i="2"/>
  <c r="AY93" i="2"/>
  <c r="AY94" i="2"/>
  <c r="AY95" i="2"/>
  <c r="AY96" i="2"/>
  <c r="AY97" i="2"/>
  <c r="AY98" i="2"/>
  <c r="AY99" i="2"/>
  <c r="AY100" i="2"/>
  <c r="AY101" i="2"/>
  <c r="AY102" i="2"/>
  <c r="AY103" i="2"/>
  <c r="AY104" i="2"/>
  <c r="AY105" i="2"/>
  <c r="AY106" i="2"/>
  <c r="AY107" i="2"/>
  <c r="AY108" i="2"/>
  <c r="AY109" i="2"/>
  <c r="AY110" i="2"/>
  <c r="AY111" i="2"/>
  <c r="AY112" i="2"/>
  <c r="AY113" i="2"/>
  <c r="AY114" i="2"/>
  <c r="AY115" i="2"/>
  <c r="AY116" i="2"/>
  <c r="AY117" i="2"/>
  <c r="AY118" i="2"/>
  <c r="AY119" i="2"/>
  <c r="AY120" i="2"/>
  <c r="AY121" i="2"/>
  <c r="AY122" i="2"/>
  <c r="AY123" i="2"/>
  <c r="AY124" i="2"/>
  <c r="AY125" i="2"/>
  <c r="AY126" i="2"/>
  <c r="AY127" i="2"/>
  <c r="AY128" i="2"/>
  <c r="AY129" i="2"/>
  <c r="AY130" i="2"/>
  <c r="AY131" i="2"/>
  <c r="AY132" i="2"/>
  <c r="AY133" i="2"/>
  <c r="AY134" i="2"/>
  <c r="AY135" i="2"/>
  <c r="AY136" i="2"/>
  <c r="AY137" i="2"/>
  <c r="AY138" i="2"/>
  <c r="AY139" i="2"/>
  <c r="AY140" i="2"/>
  <c r="AY141" i="2"/>
  <c r="AY142" i="2"/>
  <c r="AY143" i="2"/>
  <c r="AY144" i="2"/>
  <c r="AY145" i="2"/>
  <c r="AY146" i="2"/>
  <c r="AY147" i="2"/>
  <c r="AY148" i="2"/>
  <c r="AY149" i="2"/>
  <c r="AY150" i="2"/>
  <c r="AY151" i="2"/>
  <c r="AY152" i="2"/>
  <c r="AY153" i="2"/>
  <c r="AY154" i="2"/>
  <c r="AY155" i="2"/>
  <c r="AY156" i="2"/>
  <c r="AY157" i="2"/>
  <c r="AY158" i="2"/>
  <c r="AY159" i="2"/>
  <c r="AY160" i="2"/>
  <c r="AY161" i="2"/>
  <c r="AY162" i="2"/>
  <c r="AY163" i="2"/>
  <c r="AY164" i="2"/>
  <c r="AY165" i="2"/>
  <c r="AY166" i="2"/>
  <c r="AY167" i="2"/>
  <c r="AY168" i="2"/>
  <c r="AY169" i="2"/>
  <c r="AY170" i="2"/>
  <c r="AY171" i="2"/>
  <c r="AY172" i="2"/>
  <c r="AY173" i="2"/>
  <c r="AY174" i="2"/>
  <c r="AY175" i="2"/>
  <c r="AY176" i="2"/>
  <c r="AY177" i="2"/>
  <c r="AY178" i="2"/>
  <c r="AY179" i="2"/>
  <c r="AY180" i="2"/>
  <c r="AY181" i="2"/>
  <c r="AY183" i="2"/>
  <c r="AX182" i="2"/>
  <c r="AX2" i="2"/>
  <c r="AX3" i="2"/>
  <c r="AX4" i="2"/>
  <c r="AX5" i="2"/>
  <c r="AX6" i="2"/>
  <c r="AX7" i="2"/>
  <c r="AX8" i="2"/>
  <c r="AX9" i="2"/>
  <c r="AX10" i="2"/>
  <c r="AX11" i="2"/>
  <c r="AX12" i="2"/>
  <c r="AX13" i="2"/>
  <c r="AX14" i="2"/>
  <c r="AX15" i="2"/>
  <c r="AX16" i="2"/>
  <c r="AX17" i="2"/>
  <c r="AX18" i="2"/>
  <c r="AX19" i="2"/>
  <c r="AX20" i="2"/>
  <c r="AX21" i="2"/>
  <c r="AX22" i="2"/>
  <c r="AX23" i="2"/>
  <c r="AX24" i="2"/>
  <c r="AX25" i="2"/>
  <c r="AX26" i="2"/>
  <c r="AX27" i="2"/>
  <c r="AX28" i="2"/>
  <c r="AX29" i="2"/>
  <c r="AX30" i="2"/>
  <c r="AX31" i="2"/>
  <c r="AX32" i="2"/>
  <c r="AX33" i="2"/>
  <c r="AX34" i="2"/>
  <c r="AX35" i="2"/>
  <c r="AX36" i="2"/>
  <c r="AX37" i="2"/>
  <c r="AX38" i="2"/>
  <c r="AX39" i="2"/>
  <c r="AX40" i="2"/>
  <c r="AX41" i="2"/>
  <c r="AX42" i="2"/>
  <c r="AX43" i="2"/>
  <c r="AX44" i="2"/>
  <c r="AX45" i="2"/>
  <c r="AX46" i="2"/>
  <c r="AX47" i="2"/>
  <c r="AX48" i="2"/>
  <c r="AX49" i="2"/>
  <c r="AX50" i="2"/>
  <c r="AX51" i="2"/>
  <c r="AX52" i="2"/>
  <c r="AX53" i="2"/>
  <c r="AX54" i="2"/>
  <c r="AX55" i="2"/>
  <c r="AX56" i="2"/>
  <c r="AX57" i="2"/>
  <c r="AX58" i="2"/>
  <c r="AX59" i="2"/>
  <c r="AX60" i="2"/>
  <c r="AX61" i="2"/>
  <c r="AX62" i="2"/>
  <c r="AX63" i="2"/>
  <c r="AX64" i="2"/>
  <c r="AX65" i="2"/>
  <c r="AX66" i="2"/>
  <c r="AX67" i="2"/>
  <c r="AX68" i="2"/>
  <c r="AX69" i="2"/>
  <c r="AX70" i="2"/>
  <c r="AX71" i="2"/>
  <c r="AX72" i="2"/>
  <c r="AX73" i="2"/>
  <c r="AX74" i="2"/>
  <c r="AX75" i="2"/>
  <c r="AX76" i="2"/>
  <c r="AX77" i="2"/>
  <c r="AX78" i="2"/>
  <c r="AX79" i="2"/>
  <c r="AX80" i="2"/>
  <c r="AX81" i="2"/>
  <c r="AX82" i="2"/>
  <c r="AX83" i="2"/>
  <c r="AX84" i="2"/>
  <c r="AX85" i="2"/>
  <c r="AX86" i="2"/>
  <c r="AX87" i="2"/>
  <c r="AX88" i="2"/>
  <c r="AX89" i="2"/>
  <c r="AX90" i="2"/>
  <c r="AX91" i="2"/>
  <c r="AX92" i="2"/>
  <c r="AX93" i="2"/>
  <c r="AX94" i="2"/>
  <c r="AX95" i="2"/>
  <c r="AX96" i="2"/>
  <c r="AX97" i="2"/>
  <c r="AX98" i="2"/>
  <c r="AX99" i="2"/>
  <c r="AX100" i="2"/>
  <c r="AX101" i="2"/>
  <c r="AX102" i="2"/>
  <c r="AX103" i="2"/>
  <c r="AX104" i="2"/>
  <c r="AX105" i="2"/>
  <c r="AX106" i="2"/>
  <c r="AX107" i="2"/>
  <c r="AX108" i="2"/>
  <c r="AX109" i="2"/>
  <c r="AX110" i="2"/>
  <c r="AX111" i="2"/>
  <c r="AX112" i="2"/>
  <c r="AX113" i="2"/>
  <c r="AX114" i="2"/>
  <c r="AX115" i="2"/>
  <c r="AX116" i="2"/>
  <c r="AX117" i="2"/>
  <c r="AX118" i="2"/>
  <c r="AX119" i="2"/>
  <c r="AX120" i="2"/>
  <c r="AX121" i="2"/>
  <c r="AX122" i="2"/>
  <c r="AX123" i="2"/>
  <c r="AX124" i="2"/>
  <c r="AX125" i="2"/>
  <c r="AX126" i="2"/>
  <c r="AX127" i="2"/>
  <c r="AX128" i="2"/>
  <c r="AX129" i="2"/>
  <c r="AX130" i="2"/>
  <c r="AX131" i="2"/>
  <c r="AX132" i="2"/>
  <c r="AX133" i="2"/>
  <c r="AX134" i="2"/>
  <c r="AX135" i="2"/>
  <c r="AX136" i="2"/>
  <c r="AX137" i="2"/>
  <c r="AX138" i="2"/>
  <c r="AX139" i="2"/>
  <c r="AX140" i="2"/>
  <c r="AX141" i="2"/>
  <c r="AX142" i="2"/>
  <c r="AX143" i="2"/>
  <c r="AX144" i="2"/>
  <c r="AX145" i="2"/>
  <c r="AX146" i="2"/>
  <c r="AX147" i="2"/>
  <c r="AX148" i="2"/>
  <c r="AX149" i="2"/>
  <c r="AX150" i="2"/>
  <c r="AX151" i="2"/>
  <c r="AX152" i="2"/>
  <c r="AX153" i="2"/>
  <c r="AX154" i="2"/>
  <c r="AX155" i="2"/>
  <c r="AX156" i="2"/>
  <c r="AX157" i="2"/>
  <c r="AX158" i="2"/>
  <c r="AX159" i="2"/>
  <c r="AX160" i="2"/>
  <c r="AX161" i="2"/>
  <c r="AX162" i="2"/>
  <c r="AX163" i="2"/>
  <c r="AX164" i="2"/>
  <c r="AX165" i="2"/>
  <c r="AX166" i="2"/>
  <c r="AX167" i="2"/>
  <c r="AX168" i="2"/>
  <c r="AX169" i="2"/>
  <c r="AX170" i="2"/>
  <c r="AX171" i="2"/>
  <c r="AX172" i="2"/>
  <c r="AX173" i="2"/>
  <c r="AX174" i="2"/>
  <c r="AX175" i="2"/>
  <c r="AX176" i="2"/>
  <c r="AX177" i="2"/>
  <c r="AX178" i="2"/>
  <c r="AX179" i="2"/>
  <c r="AX180" i="2"/>
  <c r="AX181" i="2"/>
  <c r="AX183" i="2"/>
  <c r="G120" i="4"/>
  <c r="H120" i="4"/>
  <c r="J120" i="4"/>
  <c r="O120" i="4"/>
  <c r="P120" i="4"/>
  <c r="T120" i="4"/>
  <c r="AH120" i="4" s="1"/>
  <c r="AR120" i="4"/>
  <c r="AS120" i="4"/>
  <c r="AS2" i="4"/>
  <c r="AS3" i="4"/>
  <c r="AS4" i="4"/>
  <c r="AS5" i="4"/>
  <c r="AS6" i="4"/>
  <c r="AS7" i="4"/>
  <c r="AS8" i="4"/>
  <c r="AS9" i="4"/>
  <c r="AS10" i="4"/>
  <c r="AS11" i="4"/>
  <c r="AS12" i="4"/>
  <c r="AS13" i="4"/>
  <c r="AS14" i="4"/>
  <c r="AS15" i="4"/>
  <c r="AS16" i="4"/>
  <c r="AS17" i="4"/>
  <c r="AS18" i="4"/>
  <c r="AS19" i="4"/>
  <c r="AS20" i="4"/>
  <c r="AS21" i="4"/>
  <c r="AS22" i="4"/>
  <c r="AS23" i="4"/>
  <c r="AS24" i="4"/>
  <c r="AS25" i="4"/>
  <c r="AS26" i="4"/>
  <c r="AS27" i="4"/>
  <c r="AS37" i="4"/>
  <c r="AS38" i="4"/>
  <c r="AS39" i="4"/>
  <c r="AS40" i="4"/>
  <c r="AS41" i="4"/>
  <c r="AS42" i="4"/>
  <c r="AS43" i="4"/>
  <c r="AS56" i="4"/>
  <c r="AS57" i="4"/>
  <c r="AS58" i="4"/>
  <c r="AS59" i="4"/>
  <c r="AS60" i="4"/>
  <c r="AS61" i="4"/>
  <c r="AS62" i="4"/>
  <c r="AS63" i="4"/>
  <c r="AS64" i="4"/>
  <c r="AS65" i="4"/>
  <c r="AS66" i="4"/>
  <c r="AS67" i="4"/>
  <c r="AS68" i="4"/>
  <c r="AS69" i="4"/>
  <c r="AS70" i="4"/>
  <c r="AS71" i="4"/>
  <c r="AS72" i="4"/>
  <c r="AS73" i="4"/>
  <c r="AS74" i="4"/>
  <c r="AS75" i="4"/>
  <c r="AS76" i="4"/>
  <c r="AS77" i="4"/>
  <c r="AS78" i="4"/>
  <c r="AS79" i="4"/>
  <c r="AS80" i="4"/>
  <c r="AS81" i="4"/>
  <c r="AS82" i="4"/>
  <c r="AS83" i="4"/>
  <c r="AS84" i="4"/>
  <c r="AS85" i="4"/>
  <c r="AS86" i="4"/>
  <c r="AS87" i="4"/>
  <c r="AS88" i="4"/>
  <c r="AS89" i="4"/>
  <c r="AS90" i="4"/>
  <c r="AS91" i="4"/>
  <c r="AS92" i="4"/>
  <c r="AS93" i="4"/>
  <c r="AS94" i="4"/>
  <c r="AS99" i="4"/>
  <c r="AS100" i="4"/>
  <c r="AS101" i="4"/>
  <c r="AS102" i="4"/>
  <c r="AS103" i="4"/>
  <c r="AS104" i="4"/>
  <c r="AS105" i="4"/>
  <c r="AS106" i="4"/>
  <c r="AS107" i="4"/>
  <c r="AS108" i="4"/>
  <c r="AS109" i="4"/>
  <c r="AS110" i="4"/>
  <c r="AS111" i="4"/>
  <c r="AS112" i="4"/>
  <c r="AS113" i="4"/>
  <c r="AS114" i="4"/>
  <c r="AS115" i="4"/>
  <c r="AS116" i="4"/>
  <c r="AS117" i="4"/>
  <c r="AS118" i="4"/>
  <c r="AS119" i="4"/>
  <c r="AS121" i="4"/>
  <c r="AS122" i="4"/>
  <c r="AS123" i="4"/>
  <c r="AS124" i="4"/>
  <c r="AS125" i="4"/>
  <c r="AS126" i="4"/>
  <c r="AS127" i="4"/>
  <c r="AS128" i="4"/>
  <c r="AS129" i="4"/>
  <c r="AS130" i="4"/>
  <c r="AS131" i="4"/>
  <c r="AS132" i="4"/>
  <c r="AS133" i="4"/>
  <c r="AS134" i="4"/>
  <c r="AS135" i="4"/>
  <c r="AS136" i="4"/>
  <c r="AS137" i="4"/>
  <c r="AS138" i="4"/>
  <c r="AS139" i="4"/>
  <c r="AS140" i="4"/>
  <c r="AS141" i="4"/>
  <c r="AS142" i="4"/>
  <c r="AS143" i="4"/>
  <c r="AS144" i="4"/>
  <c r="AS145" i="4"/>
  <c r="AS146" i="4"/>
  <c r="AS147" i="4"/>
  <c r="AS148" i="4"/>
  <c r="AS149" i="4"/>
  <c r="AS150" i="4"/>
  <c r="AS151" i="4"/>
  <c r="AS152" i="4"/>
  <c r="AS153" i="4"/>
  <c r="AS154" i="4"/>
  <c r="AS155" i="4"/>
  <c r="AS156" i="4"/>
  <c r="AS157" i="4"/>
  <c r="AS158" i="4"/>
  <c r="AS159" i="4"/>
  <c r="AS160" i="4"/>
  <c r="AS161" i="4"/>
  <c r="AS162" i="4"/>
  <c r="AS163" i="4"/>
  <c r="AS164" i="4"/>
  <c r="AS165" i="4"/>
  <c r="AS166" i="4"/>
  <c r="AS167" i="4"/>
  <c r="AS168" i="4"/>
  <c r="AS169" i="4"/>
  <c r="AS170" i="4"/>
  <c r="AS171" i="4"/>
  <c r="AS172" i="4"/>
  <c r="AS173" i="4"/>
  <c r="AS174" i="4"/>
  <c r="AS175" i="4"/>
  <c r="AS176" i="4"/>
  <c r="AS177" i="4"/>
  <c r="AS178" i="4"/>
  <c r="AS179" i="4"/>
  <c r="AS180" i="4"/>
  <c r="AS183" i="4"/>
  <c r="AR2" i="4"/>
  <c r="AR3" i="4"/>
  <c r="AR4" i="4"/>
  <c r="AR5" i="4"/>
  <c r="AR6" i="4"/>
  <c r="AR7" i="4"/>
  <c r="AR8" i="4"/>
  <c r="AR9" i="4"/>
  <c r="AR10" i="4"/>
  <c r="AR11" i="4"/>
  <c r="AR12" i="4"/>
  <c r="AR13" i="4"/>
  <c r="AR14" i="4"/>
  <c r="AR15" i="4"/>
  <c r="AR16" i="4"/>
  <c r="AR17" i="4"/>
  <c r="AR18" i="4"/>
  <c r="AR19" i="4"/>
  <c r="AR20" i="4"/>
  <c r="AR21" i="4"/>
  <c r="AR22" i="4"/>
  <c r="AR23" i="4"/>
  <c r="AR24" i="4"/>
  <c r="AR25" i="4"/>
  <c r="AR26" i="4"/>
  <c r="AR27" i="4"/>
  <c r="AR37" i="4"/>
  <c r="AR38" i="4"/>
  <c r="AR39" i="4"/>
  <c r="AR40" i="4"/>
  <c r="AR41" i="4"/>
  <c r="AR42" i="4"/>
  <c r="AR43" i="4"/>
  <c r="AR56" i="4"/>
  <c r="AR57" i="4"/>
  <c r="AR58" i="4"/>
  <c r="AR59" i="4"/>
  <c r="AR60" i="4"/>
  <c r="AR61" i="4"/>
  <c r="AR62" i="4"/>
  <c r="AR63" i="4"/>
  <c r="AR64" i="4"/>
  <c r="AR65" i="4"/>
  <c r="AR66" i="4"/>
  <c r="AR67" i="4"/>
  <c r="AR68" i="4"/>
  <c r="AR69" i="4"/>
  <c r="AR70" i="4"/>
  <c r="AR71" i="4"/>
  <c r="AR72" i="4"/>
  <c r="AR73" i="4"/>
  <c r="AR74" i="4"/>
  <c r="AR75" i="4"/>
  <c r="AR76" i="4"/>
  <c r="AR77" i="4"/>
  <c r="AR78" i="4"/>
  <c r="AR79" i="4"/>
  <c r="AR80" i="4"/>
  <c r="AR81" i="4"/>
  <c r="AR82" i="4"/>
  <c r="AR83" i="4"/>
  <c r="AR84" i="4"/>
  <c r="AR85" i="4"/>
  <c r="AR86" i="4"/>
  <c r="AR87" i="4"/>
  <c r="AR88" i="4"/>
  <c r="AR89" i="4"/>
  <c r="AR90" i="4"/>
  <c r="AR91" i="4"/>
  <c r="AR92" i="4"/>
  <c r="AR93" i="4"/>
  <c r="AR94" i="4"/>
  <c r="AR99" i="4"/>
  <c r="AR100" i="4"/>
  <c r="AR101" i="4"/>
  <c r="AR102" i="4"/>
  <c r="AR103" i="4"/>
  <c r="AR104" i="4"/>
  <c r="AR105" i="4"/>
  <c r="AR106" i="4"/>
  <c r="AR107" i="4"/>
  <c r="AR108" i="4"/>
  <c r="AR109" i="4"/>
  <c r="AR110" i="4"/>
  <c r="AR111" i="4"/>
  <c r="AR112" i="4"/>
  <c r="AR113" i="4"/>
  <c r="AR114" i="4"/>
  <c r="AR115" i="4"/>
  <c r="AR116" i="4"/>
  <c r="AR117" i="4"/>
  <c r="AR118" i="4"/>
  <c r="AR119" i="4"/>
  <c r="AR121" i="4"/>
  <c r="AR122" i="4"/>
  <c r="AR123" i="4"/>
  <c r="AR124" i="4"/>
  <c r="AR125" i="4"/>
  <c r="AR126" i="4"/>
  <c r="AR127" i="4"/>
  <c r="AR128" i="4"/>
  <c r="AR129" i="4"/>
  <c r="AR130" i="4"/>
  <c r="AR131" i="4"/>
  <c r="AR132" i="4"/>
  <c r="AR133" i="4"/>
  <c r="AR134" i="4"/>
  <c r="AR135" i="4"/>
  <c r="AR136" i="4"/>
  <c r="AR137" i="4"/>
  <c r="AR138" i="4"/>
  <c r="AR139" i="4"/>
  <c r="AR140" i="4"/>
  <c r="AR141" i="4"/>
  <c r="AR142" i="4"/>
  <c r="AR143" i="4"/>
  <c r="AR144" i="4"/>
  <c r="AR145" i="4"/>
  <c r="AR146" i="4"/>
  <c r="AR147" i="4"/>
  <c r="AR148" i="4"/>
  <c r="AR149" i="4"/>
  <c r="AR150" i="4"/>
  <c r="AR151" i="4"/>
  <c r="AR152" i="4"/>
  <c r="AR153" i="4"/>
  <c r="AR154" i="4"/>
  <c r="AR155" i="4"/>
  <c r="AR156" i="4"/>
  <c r="AR157" i="4"/>
  <c r="AR158" i="4"/>
  <c r="AR159" i="4"/>
  <c r="AR160" i="4"/>
  <c r="AR161" i="4"/>
  <c r="AR162" i="4"/>
  <c r="AR163" i="4"/>
  <c r="AR164" i="4"/>
  <c r="AR165" i="4"/>
  <c r="AR166" i="4"/>
  <c r="AR167" i="4"/>
  <c r="AR168" i="4"/>
  <c r="AR169" i="4"/>
  <c r="AR170" i="4"/>
  <c r="AR171" i="4"/>
  <c r="AR172" i="4"/>
  <c r="AR173" i="4"/>
  <c r="AR174" i="4"/>
  <c r="AR175" i="4"/>
  <c r="AR176" i="4"/>
  <c r="AR177" i="4"/>
  <c r="AR178" i="4"/>
  <c r="AR179" i="4"/>
  <c r="AR180" i="4"/>
  <c r="AT181" i="4"/>
  <c r="AT182" i="4"/>
  <c r="AR183" i="4"/>
  <c r="AT183" i="4" s="1"/>
  <c r="AK184" i="4"/>
  <c r="G3" i="4"/>
  <c r="G4" i="4"/>
  <c r="G5" i="4"/>
  <c r="G6" i="4"/>
  <c r="G7" i="4"/>
  <c r="G8" i="4"/>
  <c r="G9" i="4"/>
  <c r="G10" i="4"/>
  <c r="G11" i="4"/>
  <c r="G12" i="4"/>
  <c r="G13" i="4"/>
  <c r="G14" i="4"/>
  <c r="G15" i="4"/>
  <c r="G16" i="4"/>
  <c r="G17" i="4"/>
  <c r="G18" i="4"/>
  <c r="G19" i="4"/>
  <c r="G20" i="4"/>
  <c r="G21" i="4"/>
  <c r="G22" i="4"/>
  <c r="G23" i="4"/>
  <c r="G24" i="4"/>
  <c r="G25" i="4"/>
  <c r="G26" i="4"/>
  <c r="G27" i="4"/>
  <c r="G37" i="4"/>
  <c r="G38" i="4"/>
  <c r="G39" i="4"/>
  <c r="G40" i="4"/>
  <c r="G41" i="4"/>
  <c r="G42" i="4"/>
  <c r="G43"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9" i="4"/>
  <c r="G100" i="4"/>
  <c r="G101" i="4"/>
  <c r="G102" i="4"/>
  <c r="G103" i="4"/>
  <c r="G104" i="4"/>
  <c r="G105" i="4"/>
  <c r="G106" i="4"/>
  <c r="G107" i="4"/>
  <c r="G108" i="4"/>
  <c r="G109" i="4"/>
  <c r="G110" i="4"/>
  <c r="G111" i="4"/>
  <c r="G112" i="4"/>
  <c r="G113" i="4"/>
  <c r="G114" i="4"/>
  <c r="G115" i="4"/>
  <c r="G116" i="4"/>
  <c r="G117" i="4"/>
  <c r="G118" i="4"/>
  <c r="G119"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H3" i="4"/>
  <c r="H4" i="4"/>
  <c r="H5" i="4"/>
  <c r="H6" i="4"/>
  <c r="H7" i="4"/>
  <c r="H8" i="4"/>
  <c r="H9" i="4"/>
  <c r="H10" i="4"/>
  <c r="H11" i="4"/>
  <c r="H12" i="4"/>
  <c r="H13" i="4"/>
  <c r="H14" i="4"/>
  <c r="H15" i="4"/>
  <c r="H16" i="4"/>
  <c r="H17" i="4"/>
  <c r="H18" i="4"/>
  <c r="H19" i="4"/>
  <c r="H20" i="4"/>
  <c r="H21" i="4"/>
  <c r="H22" i="4"/>
  <c r="H23" i="4"/>
  <c r="H24" i="4"/>
  <c r="H25" i="4"/>
  <c r="H26" i="4"/>
  <c r="H27" i="4"/>
  <c r="H37" i="4"/>
  <c r="H38" i="4"/>
  <c r="H39" i="4"/>
  <c r="H40" i="4"/>
  <c r="H41" i="4"/>
  <c r="H42" i="4"/>
  <c r="H43"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9" i="4"/>
  <c r="H100" i="4"/>
  <c r="H101" i="4"/>
  <c r="H102" i="4"/>
  <c r="H103" i="4"/>
  <c r="H104" i="4"/>
  <c r="H105" i="4"/>
  <c r="H106" i="4"/>
  <c r="H107" i="4"/>
  <c r="H108" i="4"/>
  <c r="H109" i="4"/>
  <c r="H110" i="4"/>
  <c r="H111" i="4"/>
  <c r="H112" i="4"/>
  <c r="H113" i="4"/>
  <c r="H114" i="4"/>
  <c r="H115" i="4"/>
  <c r="H116" i="4"/>
  <c r="H117" i="4"/>
  <c r="H118" i="4"/>
  <c r="H119"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J3" i="4"/>
  <c r="J4" i="4"/>
  <c r="J5" i="4"/>
  <c r="J6" i="4"/>
  <c r="J7" i="4"/>
  <c r="J8" i="4"/>
  <c r="J9" i="4"/>
  <c r="J10" i="4"/>
  <c r="J11" i="4"/>
  <c r="J12" i="4"/>
  <c r="J13" i="4"/>
  <c r="J14" i="4"/>
  <c r="J15" i="4"/>
  <c r="J16" i="4"/>
  <c r="J17" i="4"/>
  <c r="J18" i="4"/>
  <c r="J19" i="4"/>
  <c r="J20" i="4"/>
  <c r="J21" i="4"/>
  <c r="J22" i="4"/>
  <c r="J23" i="4"/>
  <c r="J24" i="4"/>
  <c r="J25" i="4"/>
  <c r="J26" i="4"/>
  <c r="J27" i="4"/>
  <c r="J37" i="4"/>
  <c r="J38" i="4"/>
  <c r="J39" i="4"/>
  <c r="J40" i="4"/>
  <c r="J41" i="4"/>
  <c r="J42" i="4"/>
  <c r="J43"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9" i="4"/>
  <c r="J100" i="4"/>
  <c r="J101" i="4"/>
  <c r="J102" i="4"/>
  <c r="J103" i="4"/>
  <c r="J104" i="4"/>
  <c r="J105" i="4"/>
  <c r="J106" i="4"/>
  <c r="J107" i="4"/>
  <c r="J108" i="4"/>
  <c r="J109" i="4"/>
  <c r="J110" i="4"/>
  <c r="J111" i="4"/>
  <c r="J112" i="4"/>
  <c r="J113" i="4"/>
  <c r="J114" i="4"/>
  <c r="J115" i="4"/>
  <c r="J116" i="4"/>
  <c r="J117" i="4"/>
  <c r="J118" i="4"/>
  <c r="J119"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O3" i="4"/>
  <c r="O4" i="4"/>
  <c r="O5" i="4"/>
  <c r="O6" i="4"/>
  <c r="O7" i="4"/>
  <c r="O8" i="4"/>
  <c r="O9" i="4"/>
  <c r="O10" i="4"/>
  <c r="O11" i="4"/>
  <c r="O12" i="4"/>
  <c r="O13" i="4"/>
  <c r="O14" i="4"/>
  <c r="O15" i="4"/>
  <c r="O16" i="4"/>
  <c r="O17" i="4"/>
  <c r="O18" i="4"/>
  <c r="O19" i="4"/>
  <c r="O20" i="4"/>
  <c r="O21" i="4"/>
  <c r="O22" i="4"/>
  <c r="O23" i="4"/>
  <c r="O24" i="4"/>
  <c r="O25" i="4"/>
  <c r="O26" i="4"/>
  <c r="O27" i="4"/>
  <c r="O37" i="4"/>
  <c r="O38" i="4"/>
  <c r="O39" i="4"/>
  <c r="O40" i="4"/>
  <c r="O41" i="4"/>
  <c r="O42" i="4"/>
  <c r="O43"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9" i="4"/>
  <c r="O100" i="4"/>
  <c r="O101" i="4"/>
  <c r="O102" i="4"/>
  <c r="O103" i="4"/>
  <c r="O104" i="4"/>
  <c r="O105" i="4"/>
  <c r="O106" i="4"/>
  <c r="O107" i="4"/>
  <c r="O108" i="4"/>
  <c r="O109" i="4"/>
  <c r="O110" i="4"/>
  <c r="O111" i="4"/>
  <c r="O112" i="4"/>
  <c r="O113" i="4"/>
  <c r="O114" i="4"/>
  <c r="O115" i="4"/>
  <c r="O116" i="4"/>
  <c r="O117" i="4"/>
  <c r="O118" i="4"/>
  <c r="O119" i="4"/>
  <c r="O121" i="4"/>
  <c r="O122" i="4"/>
  <c r="O123" i="4"/>
  <c r="O124" i="4"/>
  <c r="O125" i="4"/>
  <c r="O126" i="4"/>
  <c r="O127" i="4"/>
  <c r="O128" i="4"/>
  <c r="O129" i="4"/>
  <c r="O130" i="4"/>
  <c r="O131" i="4"/>
  <c r="O132" i="4"/>
  <c r="O133" i="4"/>
  <c r="O134" i="4"/>
  <c r="O135" i="4"/>
  <c r="O136" i="4"/>
  <c r="O137" i="4"/>
  <c r="O138" i="4"/>
  <c r="O139" i="4"/>
  <c r="O140" i="4"/>
  <c r="O141" i="4"/>
  <c r="O142" i="4"/>
  <c r="O143" i="4"/>
  <c r="O144" i="4"/>
  <c r="O145" i="4"/>
  <c r="O146" i="4"/>
  <c r="O147" i="4"/>
  <c r="O148" i="4"/>
  <c r="O149" i="4"/>
  <c r="O150" i="4"/>
  <c r="O151" i="4"/>
  <c r="O152" i="4"/>
  <c r="O153" i="4"/>
  <c r="O154" i="4"/>
  <c r="O155" i="4"/>
  <c r="O156" i="4"/>
  <c r="O157" i="4"/>
  <c r="O158" i="4"/>
  <c r="O159" i="4"/>
  <c r="O160" i="4"/>
  <c r="O161" i="4"/>
  <c r="O162" i="4"/>
  <c r="O163" i="4"/>
  <c r="O164" i="4"/>
  <c r="O165" i="4"/>
  <c r="O166" i="4"/>
  <c r="O167" i="4"/>
  <c r="O168" i="4"/>
  <c r="O169" i="4"/>
  <c r="O170" i="4"/>
  <c r="O171" i="4"/>
  <c r="O172" i="4"/>
  <c r="O173" i="4"/>
  <c r="O174" i="4"/>
  <c r="O175" i="4"/>
  <c r="O176" i="4"/>
  <c r="O177" i="4"/>
  <c r="O178" i="4"/>
  <c r="O179" i="4"/>
  <c r="O180" i="4"/>
  <c r="O181" i="4"/>
  <c r="O182" i="4"/>
  <c r="O183" i="4"/>
  <c r="P3" i="4"/>
  <c r="P4" i="4"/>
  <c r="P5" i="4"/>
  <c r="P6" i="4"/>
  <c r="P7" i="4"/>
  <c r="P8" i="4"/>
  <c r="P9" i="4"/>
  <c r="P10" i="4"/>
  <c r="P11" i="4"/>
  <c r="P12" i="4"/>
  <c r="P13" i="4"/>
  <c r="P14" i="4"/>
  <c r="P15" i="4"/>
  <c r="P16" i="4"/>
  <c r="P17" i="4"/>
  <c r="P18" i="4"/>
  <c r="P19" i="4"/>
  <c r="P20" i="4"/>
  <c r="P21" i="4"/>
  <c r="P22" i="4"/>
  <c r="P23" i="4"/>
  <c r="P24" i="4"/>
  <c r="P25" i="4"/>
  <c r="P26" i="4"/>
  <c r="P27" i="4"/>
  <c r="P37" i="4"/>
  <c r="P38" i="4"/>
  <c r="P39" i="4"/>
  <c r="P40" i="4"/>
  <c r="P41" i="4"/>
  <c r="P42" i="4"/>
  <c r="P43" i="4"/>
  <c r="P56" i="4"/>
  <c r="P57" i="4"/>
  <c r="P58" i="4"/>
  <c r="P59" i="4"/>
  <c r="P60" i="4"/>
  <c r="P61" i="4"/>
  <c r="P62" i="4"/>
  <c r="P63" i="4"/>
  <c r="P64" i="4"/>
  <c r="P65" i="4"/>
  <c r="P66" i="4"/>
  <c r="P67" i="4"/>
  <c r="P68" i="4"/>
  <c r="P69" i="4"/>
  <c r="P70" i="4"/>
  <c r="P71" i="4"/>
  <c r="P72" i="4"/>
  <c r="P73" i="4"/>
  <c r="P74" i="4"/>
  <c r="P75" i="4"/>
  <c r="P76" i="4"/>
  <c r="P77" i="4"/>
  <c r="P78" i="4"/>
  <c r="P79" i="4"/>
  <c r="P80" i="4"/>
  <c r="P81" i="4"/>
  <c r="P82" i="4"/>
  <c r="P83" i="4"/>
  <c r="P84" i="4"/>
  <c r="P85" i="4"/>
  <c r="P86" i="4"/>
  <c r="P87" i="4"/>
  <c r="P88" i="4"/>
  <c r="P89" i="4"/>
  <c r="P90" i="4"/>
  <c r="P91" i="4"/>
  <c r="P92" i="4"/>
  <c r="P93" i="4"/>
  <c r="P94" i="4"/>
  <c r="P99" i="4"/>
  <c r="P100" i="4"/>
  <c r="P101" i="4"/>
  <c r="P102" i="4"/>
  <c r="P103" i="4"/>
  <c r="P104" i="4"/>
  <c r="P105" i="4"/>
  <c r="P106" i="4"/>
  <c r="P107" i="4"/>
  <c r="P108" i="4"/>
  <c r="P109" i="4"/>
  <c r="P110" i="4"/>
  <c r="P111" i="4"/>
  <c r="P112" i="4"/>
  <c r="P113" i="4"/>
  <c r="P114" i="4"/>
  <c r="P115" i="4"/>
  <c r="P116" i="4"/>
  <c r="P117" i="4"/>
  <c r="P118" i="4"/>
  <c r="P119" i="4"/>
  <c r="P121" i="4"/>
  <c r="P122" i="4"/>
  <c r="P123" i="4"/>
  <c r="P124" i="4"/>
  <c r="P125" i="4"/>
  <c r="P126" i="4"/>
  <c r="P127" i="4"/>
  <c r="P128" i="4"/>
  <c r="P129" i="4"/>
  <c r="P130" i="4"/>
  <c r="P131" i="4"/>
  <c r="P132" i="4"/>
  <c r="P133" i="4"/>
  <c r="P134" i="4"/>
  <c r="P135" i="4"/>
  <c r="P136" i="4"/>
  <c r="P137" i="4"/>
  <c r="P138" i="4"/>
  <c r="P139" i="4"/>
  <c r="P140" i="4"/>
  <c r="P141" i="4"/>
  <c r="P142" i="4"/>
  <c r="P143" i="4"/>
  <c r="P144" i="4"/>
  <c r="P145" i="4"/>
  <c r="P146" i="4"/>
  <c r="P147" i="4"/>
  <c r="P148" i="4"/>
  <c r="P149" i="4"/>
  <c r="P150" i="4"/>
  <c r="P151" i="4"/>
  <c r="P152" i="4"/>
  <c r="P153" i="4"/>
  <c r="P154" i="4"/>
  <c r="P155" i="4"/>
  <c r="P156" i="4"/>
  <c r="P157" i="4"/>
  <c r="P158" i="4"/>
  <c r="P159" i="4"/>
  <c r="P160" i="4"/>
  <c r="P161" i="4"/>
  <c r="P162" i="4"/>
  <c r="P163" i="4"/>
  <c r="P164" i="4"/>
  <c r="P165" i="4"/>
  <c r="P166" i="4"/>
  <c r="P167" i="4"/>
  <c r="P168" i="4"/>
  <c r="P169" i="4"/>
  <c r="P170" i="4"/>
  <c r="P171" i="4"/>
  <c r="P172" i="4"/>
  <c r="P173" i="4"/>
  <c r="P174" i="4"/>
  <c r="P175" i="4"/>
  <c r="P176" i="4"/>
  <c r="P177" i="4"/>
  <c r="P178" i="4"/>
  <c r="P179" i="4"/>
  <c r="P180" i="4"/>
  <c r="P181" i="4"/>
  <c r="P182" i="4"/>
  <c r="P183" i="4"/>
  <c r="T3" i="4"/>
  <c r="AF3" i="4" s="1"/>
  <c r="T4" i="4"/>
  <c r="U4" i="4" s="1"/>
  <c r="T5" i="4"/>
  <c r="AB5" i="4" s="1"/>
  <c r="T6" i="4"/>
  <c r="AF6" i="4" s="1"/>
  <c r="T7" i="4"/>
  <c r="AN7" i="4" s="1"/>
  <c r="T8" i="4"/>
  <c r="AN8" i="4" s="1"/>
  <c r="T9" i="4"/>
  <c r="W9" i="4" s="1"/>
  <c r="T10" i="4"/>
  <c r="AB10" i="4" s="1"/>
  <c r="T11" i="4"/>
  <c r="AB11" i="4" s="1"/>
  <c r="T12" i="4"/>
  <c r="AL12" i="4" s="1"/>
  <c r="T13" i="4"/>
  <c r="AL13" i="4" s="1"/>
  <c r="T14" i="4"/>
  <c r="AD14" i="4" s="1"/>
  <c r="T15" i="4"/>
  <c r="AJ15" i="4" s="1"/>
  <c r="T16" i="4"/>
  <c r="U16" i="4" s="1"/>
  <c r="T17" i="4"/>
  <c r="W17" i="4" s="1"/>
  <c r="T18" i="4"/>
  <c r="W18" i="4" s="1"/>
  <c r="T19" i="4"/>
  <c r="AN19" i="4" s="1"/>
  <c r="T20" i="4"/>
  <c r="AN20" i="4" s="1"/>
  <c r="T21" i="4"/>
  <c r="W21" i="4" s="1"/>
  <c r="T22" i="4"/>
  <c r="W22" i="4" s="1"/>
  <c r="T23" i="4"/>
  <c r="AL23" i="4" s="1"/>
  <c r="T24" i="4"/>
  <c r="AL24" i="4" s="1"/>
  <c r="T25" i="4"/>
  <c r="AL25" i="4" s="1"/>
  <c r="T26" i="4"/>
  <c r="AL26" i="4" s="1"/>
  <c r="T27" i="4"/>
  <c r="AD27" i="4" s="1"/>
  <c r="T37" i="4"/>
  <c r="U37" i="4" s="1"/>
  <c r="T38" i="4"/>
  <c r="W38" i="4" s="1"/>
  <c r="T39" i="4"/>
  <c r="AN39" i="4" s="1"/>
  <c r="T40" i="4"/>
  <c r="AN40" i="4" s="1"/>
  <c r="T41" i="4"/>
  <c r="AN41" i="4" s="1"/>
  <c r="T42" i="4"/>
  <c r="AF42" i="4" s="1"/>
  <c r="T43" i="4"/>
  <c r="U43" i="4" s="1"/>
  <c r="T56" i="4"/>
  <c r="W56" i="4" s="1"/>
  <c r="T57" i="4"/>
  <c r="U57" i="4" s="1"/>
  <c r="T58" i="4"/>
  <c r="AL58" i="4" s="1"/>
  <c r="T59" i="4"/>
  <c r="AB59" i="4" s="1"/>
  <c r="T60" i="4"/>
  <c r="AB60" i="4" s="1"/>
  <c r="T61" i="4"/>
  <c r="U61" i="4" s="1"/>
  <c r="T62" i="4"/>
  <c r="AD62" i="4" s="1"/>
  <c r="T63" i="4"/>
  <c r="AF63" i="4" s="1"/>
  <c r="T64" i="4"/>
  <c r="AN64" i="4" s="1"/>
  <c r="T65" i="4"/>
  <c r="AN65" i="4" s="1"/>
  <c r="T66" i="4"/>
  <c r="AH66" i="4" s="1"/>
  <c r="T67" i="4"/>
  <c r="AF67" i="4" s="1"/>
  <c r="T68" i="4"/>
  <c r="AF68" i="4" s="1"/>
  <c r="T69" i="4"/>
  <c r="AL69" i="4" s="1"/>
  <c r="T70" i="4"/>
  <c r="AL70" i="4" s="1"/>
  <c r="T71" i="4"/>
  <c r="U71" i="4" s="1"/>
  <c r="T72" i="4"/>
  <c r="AL72" i="4" s="1"/>
  <c r="T73" i="4"/>
  <c r="U73" i="4" s="1"/>
  <c r="T74" i="4"/>
  <c r="AD74" i="4" s="1"/>
  <c r="T75" i="4"/>
  <c r="U75" i="4" s="1"/>
  <c r="T76" i="4"/>
  <c r="AN76" i="4" s="1"/>
  <c r="T77" i="4"/>
  <c r="AN77" i="4" s="1"/>
  <c r="T78" i="4"/>
  <c r="AD78" i="4" s="1"/>
  <c r="T79" i="4"/>
  <c r="AD79" i="4" s="1"/>
  <c r="T80" i="4"/>
  <c r="AL80" i="4" s="1"/>
  <c r="T81" i="4"/>
  <c r="AD81" i="4" s="1"/>
  <c r="T82" i="4"/>
  <c r="AL82" i="4" s="1"/>
  <c r="T83" i="4"/>
  <c r="AJ83" i="4" s="1"/>
  <c r="T84" i="4"/>
  <c r="W84" i="4" s="1"/>
  <c r="T85" i="4"/>
  <c r="U85" i="4" s="1"/>
  <c r="T86" i="4"/>
  <c r="AB86" i="4" s="1"/>
  <c r="T87" i="4"/>
  <c r="W87" i="4" s="1"/>
  <c r="T88" i="4"/>
  <c r="AN88" i="4" s="1"/>
  <c r="T89" i="4"/>
  <c r="AN89" i="4" s="1"/>
  <c r="T90" i="4"/>
  <c r="AB90" i="4" s="1"/>
  <c r="T91" i="4"/>
  <c r="W91" i="4" s="1"/>
  <c r="T92" i="4"/>
  <c r="AD92" i="4" s="1"/>
  <c r="T93" i="4"/>
  <c r="AL93" i="4" s="1"/>
  <c r="T94" i="4"/>
  <c r="AL94" i="4" s="1"/>
  <c r="T99" i="4"/>
  <c r="AF99" i="4" s="1"/>
  <c r="T100" i="4"/>
  <c r="AF100" i="4" s="1"/>
  <c r="T101" i="4"/>
  <c r="U101" i="4" s="1"/>
  <c r="T102" i="4"/>
  <c r="U102" i="4" s="1"/>
  <c r="T103" i="4"/>
  <c r="W103" i="4" s="1"/>
  <c r="T104" i="4"/>
  <c r="AN104" i="4" s="1"/>
  <c r="T105" i="4"/>
  <c r="AN105" i="4" s="1"/>
  <c r="T106" i="4"/>
  <c r="U106" i="4" s="1"/>
  <c r="T107" i="4"/>
  <c r="U107" i="4" s="1"/>
  <c r="T108" i="4"/>
  <c r="U108" i="4" s="1"/>
  <c r="T109" i="4"/>
  <c r="AL109" i="4" s="1"/>
  <c r="T110" i="4"/>
  <c r="AL110" i="4" s="1"/>
  <c r="T111" i="4"/>
  <c r="AD111" i="4" s="1"/>
  <c r="T112" i="4"/>
  <c r="AH112" i="4" s="1"/>
  <c r="T113" i="4"/>
  <c r="U113" i="4" s="1"/>
  <c r="T114" i="4"/>
  <c r="W114" i="4" s="1"/>
  <c r="T115" i="4"/>
  <c r="AN115" i="4" s="1"/>
  <c r="T116" i="4"/>
  <c r="AN116" i="4" s="1"/>
  <c r="T117" i="4"/>
  <c r="AN117" i="4" s="1"/>
  <c r="T118" i="4"/>
  <c r="W118" i="4" s="1"/>
  <c r="T119" i="4"/>
  <c r="W119" i="4" s="1"/>
  <c r="T121" i="4"/>
  <c r="AL121" i="4" s="1"/>
  <c r="T122" i="4"/>
  <c r="AL122" i="4" s="1"/>
  <c r="T123" i="4"/>
  <c r="AL123" i="4" s="1"/>
  <c r="T124" i="4"/>
  <c r="U124" i="4" s="1"/>
  <c r="T125" i="4"/>
  <c r="AD125" i="4" s="1"/>
  <c r="T126" i="4"/>
  <c r="U126" i="4" s="1"/>
  <c r="T127" i="4"/>
  <c r="W127" i="4" s="1"/>
  <c r="T128" i="4"/>
  <c r="AN128" i="4" s="1"/>
  <c r="T129" i="4"/>
  <c r="AN129" i="4" s="1"/>
  <c r="T130" i="4"/>
  <c r="AN130" i="4" s="1"/>
  <c r="T131" i="4"/>
  <c r="AF131" i="4" s="1"/>
  <c r="T132" i="4"/>
  <c r="U132" i="4" s="1"/>
  <c r="T133" i="4"/>
  <c r="W133" i="4" s="1"/>
  <c r="T134" i="4"/>
  <c r="AL134" i="4" s="1"/>
  <c r="T135" i="4"/>
  <c r="AL135" i="4" s="1"/>
  <c r="T136" i="4"/>
  <c r="AB136" i="4" s="1"/>
  <c r="T137" i="4"/>
  <c r="AB137" i="4" s="1"/>
  <c r="T138" i="4"/>
  <c r="U138" i="4" s="1"/>
  <c r="T139" i="4"/>
  <c r="U139" i="4" s="1"/>
  <c r="T140" i="4"/>
  <c r="AB140" i="4" s="1"/>
  <c r="T141" i="4"/>
  <c r="AN141" i="4" s="1"/>
  <c r="T142" i="4"/>
  <c r="AN142" i="4" s="1"/>
  <c r="T143" i="4"/>
  <c r="U143" i="4" s="1"/>
  <c r="T144" i="4"/>
  <c r="AF144" i="4" s="1"/>
  <c r="T145" i="4"/>
  <c r="AL145" i="4" s="1"/>
  <c r="T146" i="4"/>
  <c r="AN146" i="4" s="1"/>
  <c r="T147" i="4"/>
  <c r="AL147" i="4" s="1"/>
  <c r="T148" i="4"/>
  <c r="W148" i="4" s="1"/>
  <c r="T149" i="4"/>
  <c r="AD149" i="4" s="1"/>
  <c r="T150" i="4"/>
  <c r="U150" i="4" s="1"/>
  <c r="T151" i="4"/>
  <c r="U151" i="4" s="1"/>
  <c r="T152" i="4"/>
  <c r="AF152" i="4" s="1"/>
  <c r="T153" i="4"/>
  <c r="AN153" i="4" s="1"/>
  <c r="T154" i="4"/>
  <c r="AN154" i="4" s="1"/>
  <c r="T155" i="4"/>
  <c r="AD155" i="4" s="1"/>
  <c r="T156" i="4"/>
  <c r="U156" i="4" s="1"/>
  <c r="T157" i="4"/>
  <c r="U157" i="4" s="1"/>
  <c r="T158" i="4"/>
  <c r="AH158" i="4" s="1"/>
  <c r="T159" i="4"/>
  <c r="AL159" i="4" s="1"/>
  <c r="T160" i="4"/>
  <c r="W160" i="4" s="1"/>
  <c r="T161" i="4"/>
  <c r="W161" i="4" s="1"/>
  <c r="T162" i="4"/>
  <c r="U162" i="4" s="1"/>
  <c r="T163" i="4"/>
  <c r="AD163" i="4" s="1"/>
  <c r="T164" i="4"/>
  <c r="U164" i="4" s="1"/>
  <c r="T165" i="4"/>
  <c r="AN165" i="4" s="1"/>
  <c r="T166" i="4"/>
  <c r="AN166" i="4" s="1"/>
  <c r="T167" i="4"/>
  <c r="AB167" i="4" s="1"/>
  <c r="T168" i="4"/>
  <c r="AF168" i="4" s="1"/>
  <c r="T169" i="4"/>
  <c r="AD169" i="4" s="1"/>
  <c r="T170" i="4"/>
  <c r="AL170" i="4" s="1"/>
  <c r="T171" i="4"/>
  <c r="AL171" i="4" s="1"/>
  <c r="T172" i="4"/>
  <c r="AF172" i="4" s="1"/>
  <c r="T173" i="4"/>
  <c r="AF173" i="4" s="1"/>
  <c r="T174" i="4"/>
  <c r="U174" i="4" s="1"/>
  <c r="T175" i="4"/>
  <c r="AB175" i="4" s="1"/>
  <c r="T176" i="4"/>
  <c r="AN176" i="4" s="1"/>
  <c r="T177" i="4"/>
  <c r="AN177" i="4" s="1"/>
  <c r="T178" i="4"/>
  <c r="AN178" i="4" s="1"/>
  <c r="T179" i="4"/>
  <c r="AB179" i="4" s="1"/>
  <c r="T180" i="4"/>
  <c r="AB180" i="4" s="1"/>
  <c r="T181" i="4"/>
  <c r="AB181" i="4" s="1"/>
  <c r="T182" i="4"/>
  <c r="AL182" i="4" s="1"/>
  <c r="T183" i="4"/>
  <c r="AL183" i="4" s="1"/>
  <c r="U14" i="4"/>
  <c r="AT71" i="4"/>
  <c r="F165" i="4"/>
  <c r="F148" i="4"/>
  <c r="F15" i="4"/>
  <c r="F102" i="4"/>
  <c r="F56" i="4"/>
  <c r="F9" i="4"/>
  <c r="F123" i="4"/>
  <c r="F26" i="4"/>
  <c r="F3" i="4"/>
  <c r="F135" i="4"/>
  <c r="F41" i="4"/>
  <c r="F23" i="4"/>
  <c r="F42" i="4"/>
  <c r="F108" i="4"/>
  <c r="F162" i="4"/>
  <c r="F158" i="4"/>
  <c r="F125" i="4"/>
  <c r="F67" i="4"/>
  <c r="F127" i="4"/>
  <c r="F105" i="4"/>
  <c r="F133" i="4"/>
  <c r="F82" i="4"/>
  <c r="F13" i="4"/>
  <c r="F171" i="4"/>
  <c r="F75" i="4"/>
  <c r="F19" i="4"/>
  <c r="F99" i="4"/>
  <c r="F25" i="4"/>
  <c r="F65" i="4"/>
  <c r="F174" i="4"/>
  <c r="F161" i="4"/>
  <c r="F6" i="4"/>
  <c r="F164" i="4"/>
  <c r="F118" i="4"/>
  <c r="F92" i="4"/>
  <c r="F12" i="4"/>
  <c r="F60" i="4"/>
  <c r="F145" i="4"/>
  <c r="F16" i="4"/>
  <c r="F152" i="4"/>
  <c r="F58" i="4"/>
  <c r="F94" i="4"/>
  <c r="F81" i="4"/>
  <c r="F149" i="4"/>
  <c r="F178" i="4"/>
  <c r="F10" i="4"/>
  <c r="F14" i="4"/>
  <c r="F39" i="4"/>
  <c r="F37" i="4"/>
  <c r="F147" i="4"/>
  <c r="F183" i="4"/>
  <c r="F172" i="4"/>
  <c r="F87" i="4"/>
  <c r="F119" i="4"/>
  <c r="F126" i="4"/>
  <c r="F103" i="4"/>
  <c r="F24" i="4"/>
  <c r="F84" i="4"/>
  <c r="F131" i="4"/>
  <c r="F146" i="4"/>
  <c r="F157" i="4"/>
  <c r="F173" i="4"/>
  <c r="F63" i="4"/>
  <c r="F120" i="4"/>
  <c r="F130" i="4"/>
  <c r="F71" i="4"/>
  <c r="F83" i="4"/>
  <c r="F128" i="4"/>
  <c r="F38" i="4"/>
  <c r="F88" i="4"/>
  <c r="F141" i="4"/>
  <c r="F122" i="4"/>
  <c r="F154" i="4"/>
  <c r="F170" i="4"/>
  <c r="F91" i="4"/>
  <c r="F59" i="4"/>
  <c r="F85" i="4"/>
  <c r="F138" i="4"/>
  <c r="F129" i="4"/>
  <c r="F80" i="4"/>
  <c r="F176" i="4"/>
  <c r="F69" i="4"/>
  <c r="F156" i="4"/>
  <c r="F89" i="4"/>
  <c r="F104" i="4"/>
  <c r="F61" i="4"/>
  <c r="F64" i="4"/>
  <c r="F66" i="4"/>
  <c r="F155" i="4"/>
  <c r="F110" i="4"/>
  <c r="F8" i="4"/>
  <c r="F76" i="4"/>
  <c r="F169" i="4"/>
  <c r="F11" i="4"/>
  <c r="F114" i="4"/>
  <c r="F150" i="4"/>
  <c r="F93" i="4"/>
  <c r="F18" i="4"/>
  <c r="F113" i="4"/>
  <c r="F68" i="4"/>
  <c r="F72" i="4"/>
  <c r="F153" i="4"/>
  <c r="F116" i="4"/>
  <c r="F4" i="4"/>
  <c r="F100" i="4"/>
  <c r="F142" i="4"/>
  <c r="F77" i="4"/>
  <c r="F20" i="4"/>
  <c r="F5" i="4"/>
  <c r="F160" i="4"/>
  <c r="F90" i="4"/>
  <c r="F107" i="4"/>
  <c r="F177" i="4"/>
  <c r="F144" i="4"/>
  <c r="F43" i="4"/>
  <c r="F73" i="4"/>
  <c r="F78" i="4"/>
  <c r="F159" i="4"/>
  <c r="F163" i="4"/>
  <c r="F22" i="4"/>
  <c r="F151" i="4"/>
  <c r="F166" i="4"/>
  <c r="F21" i="4"/>
  <c r="F74" i="4"/>
  <c r="F117" i="4"/>
  <c r="F79" i="4"/>
  <c r="F62" i="4"/>
  <c r="F70" i="4"/>
  <c r="F182" i="4"/>
  <c r="F140" i="4"/>
  <c r="F181" i="4"/>
  <c r="F27" i="4"/>
  <c r="F179" i="4"/>
  <c r="F139" i="4"/>
  <c r="F17" i="4"/>
  <c r="F137" i="4"/>
  <c r="F40" i="4"/>
  <c r="F115" i="4"/>
  <c r="F7" i="4"/>
  <c r="F124" i="4"/>
  <c r="F132" i="4"/>
  <c r="F109" i="4"/>
  <c r="F134" i="4"/>
  <c r="F175" i="4"/>
  <c r="F106" i="4"/>
  <c r="F136" i="4"/>
  <c r="F167" i="4"/>
  <c r="F112" i="4"/>
  <c r="F180" i="4"/>
  <c r="F101" i="4"/>
  <c r="F168" i="4"/>
  <c r="F143" i="4"/>
  <c r="F111" i="4"/>
  <c r="F121" i="4"/>
  <c r="F86" i="4"/>
  <c r="F57" i="4"/>
  <c r="AT172" i="4" l="1"/>
  <c r="AT160" i="4"/>
  <c r="AT148" i="4"/>
  <c r="AT136" i="4"/>
  <c r="AT124" i="4"/>
  <c r="AT111" i="4"/>
  <c r="AT99" i="4"/>
  <c r="AT83" i="4"/>
  <c r="AT59" i="4"/>
  <c r="AT26" i="4"/>
  <c r="AT14" i="4"/>
  <c r="AT171" i="4"/>
  <c r="AT147" i="4"/>
  <c r="AT110" i="4"/>
  <c r="AT94" i="4"/>
  <c r="AT70" i="4"/>
  <c r="AT58" i="4"/>
  <c r="AT13" i="4"/>
  <c r="AT179" i="4"/>
  <c r="AT167" i="4"/>
  <c r="AT155" i="4"/>
  <c r="AT131" i="4"/>
  <c r="AT118" i="4"/>
  <c r="AT106" i="4"/>
  <c r="AT90" i="4"/>
  <c r="AT21" i="4"/>
  <c r="AT9" i="4"/>
  <c r="AF83" i="4"/>
  <c r="AT180" i="4"/>
  <c r="AT168" i="4"/>
  <c r="AT156" i="4"/>
  <c r="AT144" i="4"/>
  <c r="AT132" i="4"/>
  <c r="AT119" i="4"/>
  <c r="AT107" i="4"/>
  <c r="AT91" i="4"/>
  <c r="AT79" i="4"/>
  <c r="AT78" i="4"/>
  <c r="AT66" i="4"/>
  <c r="AT42" i="4"/>
  <c r="AT67" i="4"/>
  <c r="AT43" i="4"/>
  <c r="AT166" i="4"/>
  <c r="AT117" i="4"/>
  <c r="AT89" i="4"/>
  <c r="AT77" i="4"/>
  <c r="AT20" i="4"/>
  <c r="AT157" i="4"/>
  <c r="AT145" i="4"/>
  <c r="AT121" i="4"/>
  <c r="AT108" i="4"/>
  <c r="AT80" i="4"/>
  <c r="AT68" i="4"/>
  <c r="AT23" i="4"/>
  <c r="AT11" i="4"/>
  <c r="AT154" i="4"/>
  <c r="AT130" i="4"/>
  <c r="AT41" i="4"/>
  <c r="AN14" i="4"/>
  <c r="AJ148" i="4"/>
  <c r="AJ136" i="4"/>
  <c r="AJ59" i="4"/>
  <c r="AF111" i="4"/>
  <c r="AH124" i="4"/>
  <c r="AH111" i="4"/>
  <c r="AN160" i="4"/>
  <c r="AD172" i="4"/>
  <c r="AD71" i="4"/>
  <c r="AN111" i="4"/>
  <c r="AN99" i="4"/>
  <c r="AD26" i="4"/>
  <c r="W83" i="4"/>
  <c r="AJ99" i="4"/>
  <c r="AT162" i="4"/>
  <c r="AT150" i="4"/>
  <c r="AT126" i="4"/>
  <c r="AT113" i="4"/>
  <c r="AT85" i="4"/>
  <c r="AT73" i="4"/>
  <c r="AT37" i="4"/>
  <c r="AT16" i="4"/>
  <c r="AT173" i="4"/>
  <c r="AT161" i="4"/>
  <c r="AT149" i="4"/>
  <c r="AT125" i="4"/>
  <c r="AT100" i="4"/>
  <c r="AT84" i="4"/>
  <c r="AT72" i="4"/>
  <c r="AT60" i="4"/>
  <c r="AT27" i="4"/>
  <c r="AT15" i="4"/>
  <c r="AT3" i="4"/>
  <c r="AD148" i="4"/>
  <c r="AJ160" i="4"/>
  <c r="AF23" i="4"/>
  <c r="AH13" i="4"/>
  <c r="AJ110" i="4"/>
  <c r="AJ13" i="4"/>
  <c r="W70" i="4"/>
  <c r="U70" i="4"/>
  <c r="AN159" i="4"/>
  <c r="AH58" i="4"/>
  <c r="AN108" i="4"/>
  <c r="AB17" i="4"/>
  <c r="W79" i="4"/>
  <c r="AN12" i="4"/>
  <c r="AF171" i="4"/>
  <c r="U23" i="4"/>
  <c r="AF25" i="4"/>
  <c r="AF57" i="4"/>
  <c r="W82" i="4"/>
  <c r="AH121" i="4"/>
  <c r="AD135" i="4"/>
  <c r="AN90" i="4"/>
  <c r="AH94" i="4"/>
  <c r="AD80" i="4"/>
  <c r="U13" i="4"/>
  <c r="AD9" i="4"/>
  <c r="AN148" i="4"/>
  <c r="AJ111" i="4"/>
  <c r="AH14" i="4"/>
  <c r="AD83" i="4"/>
  <c r="W59" i="4"/>
  <c r="AF120" i="4"/>
  <c r="AN78" i="4"/>
  <c r="AB145" i="4"/>
  <c r="AH168" i="4"/>
  <c r="AN26" i="4"/>
  <c r="AH135" i="4"/>
  <c r="AF26" i="4"/>
  <c r="AB111" i="4"/>
  <c r="AN169" i="4"/>
  <c r="AH167" i="4"/>
  <c r="U145" i="4"/>
  <c r="U121" i="4"/>
  <c r="AF5" i="4"/>
  <c r="AB15" i="4"/>
  <c r="W145" i="4"/>
  <c r="AF181" i="4"/>
  <c r="AN179" i="4"/>
  <c r="AN68" i="4"/>
  <c r="AH148" i="4"/>
  <c r="AH11" i="4"/>
  <c r="W136" i="4"/>
  <c r="U99" i="4"/>
  <c r="U78" i="4"/>
  <c r="AJ106" i="4"/>
  <c r="AF179" i="4"/>
  <c r="AF21" i="4"/>
  <c r="AB152" i="4"/>
  <c r="AJ93" i="4"/>
  <c r="AN66" i="4"/>
  <c r="AJ66" i="4"/>
  <c r="AF121" i="4"/>
  <c r="W69" i="4"/>
  <c r="AF155" i="4"/>
  <c r="AN131" i="4"/>
  <c r="AN9" i="4"/>
  <c r="AJ62" i="4"/>
  <c r="AH107" i="4"/>
  <c r="AB92" i="4"/>
  <c r="AJ179" i="4"/>
  <c r="AH99" i="4"/>
  <c r="AF118" i="4"/>
  <c r="AD136" i="4"/>
  <c r="AB69" i="4"/>
  <c r="W66" i="4"/>
  <c r="AJ42" i="4"/>
  <c r="AN106" i="4"/>
  <c r="AJ155" i="4"/>
  <c r="AH90" i="4"/>
  <c r="AD106" i="4"/>
  <c r="AB21" i="4"/>
  <c r="W42" i="4"/>
  <c r="AB42" i="4"/>
  <c r="AJ9" i="4"/>
  <c r="AF78" i="4"/>
  <c r="U155" i="4"/>
  <c r="AN155" i="4"/>
  <c r="AN85" i="4"/>
  <c r="AJ164" i="4"/>
  <c r="AJ69" i="4"/>
  <c r="AH179" i="4"/>
  <c r="AF24" i="4"/>
  <c r="AD87" i="4"/>
  <c r="AB146" i="4"/>
  <c r="W146" i="4"/>
  <c r="W68" i="4"/>
  <c r="U90" i="4"/>
  <c r="AN134" i="4"/>
  <c r="AN69" i="4"/>
  <c r="AJ63" i="4"/>
  <c r="AF122" i="4"/>
  <c r="AB115" i="4"/>
  <c r="W144" i="4"/>
  <c r="AH81" i="4"/>
  <c r="W24" i="4"/>
  <c r="AN122" i="4"/>
  <c r="AD69" i="4"/>
  <c r="AH145" i="4"/>
  <c r="AD66" i="4"/>
  <c r="AB81" i="4"/>
  <c r="W109" i="4"/>
  <c r="W23" i="4"/>
  <c r="AH146" i="4"/>
  <c r="AF4" i="4"/>
  <c r="W122" i="4"/>
  <c r="AN119" i="4"/>
  <c r="AN43" i="4"/>
  <c r="AJ133" i="4"/>
  <c r="AJ57" i="4"/>
  <c r="AH42" i="4"/>
  <c r="AN118" i="4"/>
  <c r="AN42" i="4"/>
  <c r="AJ118" i="4"/>
  <c r="AJ43" i="4"/>
  <c r="AH24" i="4"/>
  <c r="AF90" i="4"/>
  <c r="AD157" i="4"/>
  <c r="AD57" i="4"/>
  <c r="AB78" i="4"/>
  <c r="W106" i="4"/>
  <c r="U170" i="4"/>
  <c r="AJ24" i="4"/>
  <c r="AD146" i="4"/>
  <c r="AD24" i="4"/>
  <c r="U140" i="4"/>
  <c r="AJ10" i="4"/>
  <c r="AH109" i="4"/>
  <c r="AB170" i="4"/>
  <c r="AN109" i="4"/>
  <c r="AN57" i="4"/>
  <c r="AJ163" i="4"/>
  <c r="AJ108" i="4"/>
  <c r="AJ56" i="4"/>
  <c r="AH160" i="4"/>
  <c r="AH9" i="4"/>
  <c r="AF109" i="4"/>
  <c r="AF9" i="4"/>
  <c r="AD131" i="4"/>
  <c r="AD43" i="4"/>
  <c r="AB131" i="4"/>
  <c r="AB24" i="4"/>
  <c r="W107" i="4"/>
  <c r="W57" i="4"/>
  <c r="U134" i="4"/>
  <c r="U59" i="4"/>
  <c r="AN156" i="4"/>
  <c r="AF182" i="4"/>
  <c r="AD122" i="4"/>
  <c r="AB122" i="4"/>
  <c r="U122" i="4"/>
  <c r="U24" i="4"/>
  <c r="AD182" i="4"/>
  <c r="U119" i="4"/>
  <c r="AD16" i="4"/>
  <c r="AN145" i="4"/>
  <c r="AF69" i="4"/>
  <c r="AB109" i="4"/>
  <c r="W179" i="4"/>
  <c r="W81" i="4"/>
  <c r="W12" i="4"/>
  <c r="U118" i="4"/>
  <c r="AD93" i="4"/>
  <c r="AN93" i="4"/>
  <c r="AN24" i="4"/>
  <c r="AJ146" i="4"/>
  <c r="AJ92" i="4"/>
  <c r="AH143" i="4"/>
  <c r="AH80" i="4"/>
  <c r="AD12" i="4"/>
  <c r="AN143" i="4"/>
  <c r="AN91" i="4"/>
  <c r="AN21" i="4"/>
  <c r="AJ143" i="4"/>
  <c r="AJ78" i="4"/>
  <c r="AJ12" i="4"/>
  <c r="AH69" i="4"/>
  <c r="AF167" i="4"/>
  <c r="AF66" i="4"/>
  <c r="AD158" i="4"/>
  <c r="AD86" i="4"/>
  <c r="AD11" i="4"/>
  <c r="AB93" i="4"/>
  <c r="W170" i="4"/>
  <c r="W80" i="4"/>
  <c r="U182" i="4"/>
  <c r="U109" i="4"/>
  <c r="AJ134" i="4"/>
  <c r="AH122" i="4"/>
  <c r="AF134" i="4"/>
  <c r="AB182" i="4"/>
  <c r="AB91" i="4"/>
  <c r="U158" i="4"/>
  <c r="U93" i="4"/>
  <c r="AT137" i="4"/>
  <c r="AJ182" i="4"/>
  <c r="AH170" i="4"/>
  <c r="AD144" i="4"/>
  <c r="U146" i="4"/>
  <c r="U81" i="4"/>
  <c r="AN158" i="4"/>
  <c r="AN81" i="4"/>
  <c r="AN25" i="4"/>
  <c r="AJ170" i="4"/>
  <c r="AJ145" i="4"/>
  <c r="AJ60" i="4"/>
  <c r="AH134" i="4"/>
  <c r="AH93" i="4"/>
  <c r="AH17" i="4"/>
  <c r="AF169" i="4"/>
  <c r="AF56" i="4"/>
  <c r="AD181" i="4"/>
  <c r="AD134" i="4"/>
  <c r="AD10" i="4"/>
  <c r="AB134" i="4"/>
  <c r="AB80" i="4"/>
  <c r="W182" i="4"/>
  <c r="W134" i="4"/>
  <c r="W72" i="4"/>
  <c r="W15" i="4"/>
  <c r="U137" i="4"/>
  <c r="U80" i="4"/>
  <c r="U11" i="4"/>
  <c r="AN80" i="4"/>
  <c r="AJ168" i="4"/>
  <c r="AJ100" i="4"/>
  <c r="AH180" i="4"/>
  <c r="AH132" i="4"/>
  <c r="AH91" i="4"/>
  <c r="AH15" i="4"/>
  <c r="AD132" i="4"/>
  <c r="AB132" i="4"/>
  <c r="AB79" i="4"/>
  <c r="W181" i="4"/>
  <c r="AJ120" i="4"/>
  <c r="AN114" i="4"/>
  <c r="AN23" i="4"/>
  <c r="AF156" i="4"/>
  <c r="AF108" i="4"/>
  <c r="AD168" i="4"/>
  <c r="W180" i="4"/>
  <c r="W121" i="4"/>
  <c r="W11" i="4"/>
  <c r="U72" i="4"/>
  <c r="AD120" i="4"/>
  <c r="AF151" i="4"/>
  <c r="AD121" i="4"/>
  <c r="AN182" i="4"/>
  <c r="AH79" i="4"/>
  <c r="AF149" i="4"/>
  <c r="AF81" i="4"/>
  <c r="AD108" i="4"/>
  <c r="AB158" i="4"/>
  <c r="AB114" i="4"/>
  <c r="AB68" i="4"/>
  <c r="W168" i="4"/>
  <c r="U168" i="4"/>
  <c r="U67" i="4"/>
  <c r="AB72" i="4"/>
  <c r="AJ161" i="4"/>
  <c r="AB169" i="4"/>
  <c r="U68" i="4"/>
  <c r="AN67" i="4"/>
  <c r="AJ132" i="4"/>
  <c r="AJ81" i="4"/>
  <c r="AH10" i="4"/>
  <c r="AN180" i="4"/>
  <c r="AN135" i="4"/>
  <c r="AN13" i="4"/>
  <c r="AJ158" i="4"/>
  <c r="AJ121" i="4"/>
  <c r="AJ79" i="4"/>
  <c r="AJ27" i="4"/>
  <c r="AH110" i="4"/>
  <c r="AH72" i="4"/>
  <c r="AF147" i="4"/>
  <c r="AF79" i="4"/>
  <c r="AF12" i="4"/>
  <c r="AD147" i="4"/>
  <c r="AD25" i="4"/>
  <c r="AB157" i="4"/>
  <c r="W167" i="4"/>
  <c r="W100" i="4"/>
  <c r="W58" i="4"/>
  <c r="U167" i="4"/>
  <c r="U112" i="4"/>
  <c r="AN15" i="4"/>
  <c r="AJ157" i="4"/>
  <c r="AH3" i="4"/>
  <c r="AF145" i="4"/>
  <c r="AF11" i="4"/>
  <c r="AB156" i="4"/>
  <c r="W156" i="4"/>
  <c r="U27" i="4"/>
  <c r="AL169" i="4"/>
  <c r="AN173" i="4"/>
  <c r="AN132" i="4"/>
  <c r="AN92" i="4"/>
  <c r="AN56" i="4"/>
  <c r="AN10" i="4"/>
  <c r="AJ156" i="4"/>
  <c r="AJ112" i="4"/>
  <c r="AJ23" i="4"/>
  <c r="AH108" i="4"/>
  <c r="AH68" i="4"/>
  <c r="AD145" i="4"/>
  <c r="AD23" i="4"/>
  <c r="AB23" i="4"/>
  <c r="W43" i="4"/>
  <c r="AL92" i="4"/>
  <c r="AB149" i="4"/>
  <c r="AF60" i="4"/>
  <c r="AN181" i="4"/>
  <c r="AN157" i="4"/>
  <c r="AN133" i="4"/>
  <c r="AN110" i="4"/>
  <c r="AN83" i="4"/>
  <c r="AN61" i="4"/>
  <c r="AJ181" i="4"/>
  <c r="AJ159" i="4"/>
  <c r="AJ135" i="4"/>
  <c r="AJ109" i="4"/>
  <c r="AJ80" i="4"/>
  <c r="AJ58" i="4"/>
  <c r="AJ11" i="4"/>
  <c r="AH113" i="4"/>
  <c r="AH85" i="4"/>
  <c r="AH57" i="4"/>
  <c r="AH12" i="4"/>
  <c r="AF170" i="4"/>
  <c r="AF146" i="4"/>
  <c r="AF110" i="4"/>
  <c r="AF80" i="4"/>
  <c r="AF37" i="4"/>
  <c r="AD183" i="4"/>
  <c r="AD150" i="4"/>
  <c r="AD124" i="4"/>
  <c r="AD91" i="4"/>
  <c r="AD68" i="4"/>
  <c r="AD13" i="4"/>
  <c r="AB162" i="4"/>
  <c r="AB133" i="4"/>
  <c r="AB101" i="4"/>
  <c r="AB71" i="4"/>
  <c r="AB22" i="4"/>
  <c r="W174" i="4"/>
  <c r="W140" i="4"/>
  <c r="W108" i="4"/>
  <c r="W73" i="4"/>
  <c r="W37" i="4"/>
  <c r="U181" i="4"/>
  <c r="U144" i="4"/>
  <c r="U110" i="4"/>
  <c r="U69" i="4"/>
  <c r="U12" i="4"/>
  <c r="AL158" i="4"/>
  <c r="AL81" i="4"/>
  <c r="AN82" i="4"/>
  <c r="AN58" i="4"/>
  <c r="AN16" i="4"/>
  <c r="AH138" i="4"/>
  <c r="AH82" i="4"/>
  <c r="AD123" i="4"/>
  <c r="AB94" i="4"/>
  <c r="W138" i="4"/>
  <c r="W25" i="4"/>
  <c r="U171" i="4"/>
  <c r="AL157" i="4"/>
  <c r="AH37" i="4"/>
  <c r="AL146" i="4"/>
  <c r="AN174" i="4"/>
  <c r="AN150" i="4"/>
  <c r="AN126" i="4"/>
  <c r="AJ171" i="4"/>
  <c r="AJ101" i="4"/>
  <c r="AJ70" i="4"/>
  <c r="AJ4" i="4"/>
  <c r="AH25" i="4"/>
  <c r="AF162" i="4"/>
  <c r="AF135" i="4"/>
  <c r="AF101" i="4"/>
  <c r="AF70" i="4"/>
  <c r="AD174" i="4"/>
  <c r="AD85" i="4"/>
  <c r="AD58" i="4"/>
  <c r="AB126" i="4"/>
  <c r="AB61" i="4"/>
  <c r="W135" i="4"/>
  <c r="W101" i="4"/>
  <c r="U169" i="4"/>
  <c r="U135" i="4"/>
  <c r="U94" i="4"/>
  <c r="AL68" i="4"/>
  <c r="AJ174" i="4"/>
  <c r="AD61" i="4"/>
  <c r="AN123" i="4"/>
  <c r="AH159" i="4"/>
  <c r="AF159" i="4"/>
  <c r="AF94" i="4"/>
  <c r="AD113" i="4"/>
  <c r="AB58" i="4"/>
  <c r="AB13" i="4"/>
  <c r="W159" i="4"/>
  <c r="U58" i="4"/>
  <c r="AL57" i="4"/>
  <c r="AH162" i="4"/>
  <c r="AF138" i="4"/>
  <c r="AH183" i="4"/>
  <c r="AN147" i="4"/>
  <c r="AN73" i="4"/>
  <c r="AJ169" i="4"/>
  <c r="AH182" i="4"/>
  <c r="AH23" i="4"/>
  <c r="AF158" i="4"/>
  <c r="AF93" i="4"/>
  <c r="AD171" i="4"/>
  <c r="AD110" i="4"/>
  <c r="AD4" i="4"/>
  <c r="AB121" i="4"/>
  <c r="AB85" i="4"/>
  <c r="AB57" i="4"/>
  <c r="AB12" i="4"/>
  <c r="W158" i="4"/>
  <c r="W126" i="4"/>
  <c r="W94" i="4"/>
  <c r="U133" i="4"/>
  <c r="U92" i="4"/>
  <c r="AL133" i="4"/>
  <c r="AL56" i="4"/>
  <c r="AN101" i="4"/>
  <c r="AJ126" i="4"/>
  <c r="AH4" i="4"/>
  <c r="W16" i="4"/>
  <c r="AN171" i="4"/>
  <c r="AJ123" i="4"/>
  <c r="AJ68" i="4"/>
  <c r="AJ37" i="4"/>
  <c r="AH128" i="4"/>
  <c r="AH73" i="4"/>
  <c r="AF133" i="4"/>
  <c r="AD82" i="4"/>
  <c r="AN170" i="4"/>
  <c r="AN121" i="4"/>
  <c r="AN94" i="4"/>
  <c r="AN71" i="4"/>
  <c r="AN38" i="4"/>
  <c r="AN11" i="4"/>
  <c r="AJ147" i="4"/>
  <c r="AJ122" i="4"/>
  <c r="AJ94" i="4"/>
  <c r="AH181" i="4"/>
  <c r="AH157" i="4"/>
  <c r="AH127" i="4"/>
  <c r="AH101" i="4"/>
  <c r="AH18" i="4"/>
  <c r="AF183" i="4"/>
  <c r="AF157" i="4"/>
  <c r="AF126" i="4"/>
  <c r="AF92" i="4"/>
  <c r="AF13" i="4"/>
  <c r="AD170" i="4"/>
  <c r="AD138" i="4"/>
  <c r="AD109" i="4"/>
  <c r="AD39" i="4"/>
  <c r="AB183" i="4"/>
  <c r="AB147" i="4"/>
  <c r="AB119" i="4"/>
  <c r="AB82" i="4"/>
  <c r="AB56" i="4"/>
  <c r="AB4" i="4"/>
  <c r="W157" i="4"/>
  <c r="W124" i="4"/>
  <c r="W93" i="4"/>
  <c r="W61" i="4"/>
  <c r="W13" i="4"/>
  <c r="U160" i="4"/>
  <c r="U123" i="4"/>
  <c r="AN70" i="4"/>
  <c r="AN37" i="4"/>
  <c r="AJ25" i="4"/>
  <c r="AH150" i="4"/>
  <c r="AH126" i="4"/>
  <c r="AH70" i="4"/>
  <c r="AF123" i="4"/>
  <c r="AF61" i="4"/>
  <c r="W183" i="4"/>
  <c r="W123" i="4"/>
  <c r="U159" i="4"/>
  <c r="U25" i="4"/>
  <c r="AD162" i="4"/>
  <c r="AD73" i="4"/>
  <c r="AB174" i="4"/>
  <c r="AB37" i="4"/>
  <c r="W150" i="4"/>
  <c r="AF85" i="4"/>
  <c r="AN138" i="4"/>
  <c r="AN4" i="4"/>
  <c r="AJ162" i="4"/>
  <c r="AJ85" i="4"/>
  <c r="AJ61" i="4"/>
  <c r="AH174" i="4"/>
  <c r="AH147" i="4"/>
  <c r="AH123" i="4"/>
  <c r="AF58" i="4"/>
  <c r="AD159" i="4"/>
  <c r="AD101" i="4"/>
  <c r="AB171" i="4"/>
  <c r="AB138" i="4"/>
  <c r="AB25" i="4"/>
  <c r="W4" i="4"/>
  <c r="AL181" i="4"/>
  <c r="AL108" i="4"/>
  <c r="AL11" i="4"/>
  <c r="AN162" i="4"/>
  <c r="AH16" i="4"/>
  <c r="AN183" i="4"/>
  <c r="AN113" i="4"/>
  <c r="AJ183" i="4"/>
  <c r="AJ138" i="4"/>
  <c r="AJ82" i="4"/>
  <c r="AH171" i="4"/>
  <c r="AH61" i="4"/>
  <c r="AF174" i="4"/>
  <c r="AF82" i="4"/>
  <c r="AD94" i="4"/>
  <c r="AD70" i="4"/>
  <c r="AB135" i="4"/>
  <c r="AB110" i="4"/>
  <c r="W113" i="4"/>
  <c r="U183" i="4"/>
  <c r="AT120" i="4"/>
  <c r="AN172" i="4"/>
  <c r="AN144" i="4"/>
  <c r="AN127" i="4"/>
  <c r="AN112" i="4"/>
  <c r="AN79" i="4"/>
  <c r="AN63" i="4"/>
  <c r="AN27" i="4"/>
  <c r="AJ176" i="4"/>
  <c r="AJ131" i="4"/>
  <c r="AJ114" i="4"/>
  <c r="AJ26" i="4"/>
  <c r="AH176" i="4"/>
  <c r="AH144" i="4"/>
  <c r="AH87" i="4"/>
  <c r="AH71" i="4"/>
  <c r="AH43" i="4"/>
  <c r="AF163" i="4"/>
  <c r="AF148" i="4"/>
  <c r="AF132" i="4"/>
  <c r="AF112" i="4"/>
  <c r="AF91" i="4"/>
  <c r="AF75" i="4"/>
  <c r="AF22" i="4"/>
  <c r="AD167" i="4"/>
  <c r="AD128" i="4"/>
  <c r="AD107" i="4"/>
  <c r="AD67" i="4"/>
  <c r="AD6" i="4"/>
  <c r="AB168" i="4"/>
  <c r="AB148" i="4"/>
  <c r="AB128" i="4"/>
  <c r="AB112" i="4"/>
  <c r="AB87" i="4"/>
  <c r="AB70" i="4"/>
  <c r="AB38" i="4"/>
  <c r="AB14" i="4"/>
  <c r="W176" i="4"/>
  <c r="W137" i="4"/>
  <c r="W115" i="4"/>
  <c r="W99" i="4"/>
  <c r="W14" i="4"/>
  <c r="U179" i="4"/>
  <c r="U136" i="4"/>
  <c r="U115" i="4"/>
  <c r="U91" i="4"/>
  <c r="U26" i="4"/>
  <c r="U9" i="4"/>
  <c r="AL180" i="4"/>
  <c r="AL168" i="4"/>
  <c r="AL156" i="4"/>
  <c r="AL144" i="4"/>
  <c r="AL132" i="4"/>
  <c r="AL119" i="4"/>
  <c r="AL107" i="4"/>
  <c r="AL91" i="4"/>
  <c r="AL79" i="4"/>
  <c r="AL67" i="4"/>
  <c r="AL43" i="4"/>
  <c r="AL22" i="4"/>
  <c r="AL10" i="4"/>
  <c r="AF164" i="4"/>
  <c r="U6" i="4"/>
  <c r="AL179" i="4"/>
  <c r="AL167" i="4"/>
  <c r="AL155" i="4"/>
  <c r="AL143" i="4"/>
  <c r="AL131" i="4"/>
  <c r="AL118" i="4"/>
  <c r="AL106" i="4"/>
  <c r="AL90" i="4"/>
  <c r="AL78" i="4"/>
  <c r="AL66" i="4"/>
  <c r="AL42" i="4"/>
  <c r="AL21" i="4"/>
  <c r="AL9" i="4"/>
  <c r="AF74" i="4"/>
  <c r="AB127" i="4"/>
  <c r="U176" i="4"/>
  <c r="AN75" i="4"/>
  <c r="AJ127" i="4"/>
  <c r="AF18" i="4"/>
  <c r="AB27" i="4"/>
  <c r="W152" i="4"/>
  <c r="W112" i="4"/>
  <c r="U173" i="4"/>
  <c r="U152" i="4"/>
  <c r="U111" i="4"/>
  <c r="U87" i="4"/>
  <c r="U3" i="4"/>
  <c r="AL178" i="4"/>
  <c r="AL166" i="4"/>
  <c r="AL154" i="4"/>
  <c r="AL142" i="4"/>
  <c r="AL130" i="4"/>
  <c r="AL117" i="4"/>
  <c r="AL105" i="4"/>
  <c r="AL89" i="4"/>
  <c r="AL77" i="4"/>
  <c r="AL65" i="4"/>
  <c r="AL41" i="4"/>
  <c r="AL20" i="4"/>
  <c r="AL8" i="4"/>
  <c r="AJ175" i="4"/>
  <c r="AN140" i="4"/>
  <c r="AH39" i="4"/>
  <c r="AF161" i="4"/>
  <c r="AD63" i="4"/>
  <c r="AB84" i="4"/>
  <c r="W173" i="4"/>
  <c r="AN124" i="4"/>
  <c r="AN59" i="4"/>
  <c r="AJ173" i="4"/>
  <c r="AJ140" i="4"/>
  <c r="AJ91" i="4"/>
  <c r="AJ75" i="4"/>
  <c r="AJ6" i="4"/>
  <c r="AH172" i="4"/>
  <c r="AH156" i="4"/>
  <c r="AH106" i="4"/>
  <c r="AH83" i="4"/>
  <c r="AH38" i="4"/>
  <c r="AF176" i="4"/>
  <c r="AF160" i="4"/>
  <c r="AF86" i="4"/>
  <c r="AF71" i="4"/>
  <c r="AF43" i="4"/>
  <c r="AF15" i="4"/>
  <c r="AD180" i="4"/>
  <c r="AD160" i="4"/>
  <c r="AD143" i="4"/>
  <c r="AD22" i="4"/>
  <c r="AB161" i="4"/>
  <c r="AB125" i="4"/>
  <c r="AB83" i="4"/>
  <c r="AB66" i="4"/>
  <c r="AB26" i="4"/>
  <c r="AB9" i="4"/>
  <c r="W172" i="4"/>
  <c r="W111" i="4"/>
  <c r="W39" i="4"/>
  <c r="U149" i="4"/>
  <c r="U84" i="4"/>
  <c r="U66" i="4"/>
  <c r="AL177" i="4"/>
  <c r="AL165" i="4"/>
  <c r="AL153" i="4"/>
  <c r="AL141" i="4"/>
  <c r="AL129" i="4"/>
  <c r="AL116" i="4"/>
  <c r="AL104" i="4"/>
  <c r="AL88" i="4"/>
  <c r="AL76" i="4"/>
  <c r="AL64" i="4"/>
  <c r="AL40" i="4"/>
  <c r="AL19" i="4"/>
  <c r="AL7" i="4"/>
  <c r="W75" i="4"/>
  <c r="AH86" i="4"/>
  <c r="AF128" i="4"/>
  <c r="AD164" i="4"/>
  <c r="AN125" i="4"/>
  <c r="AH173" i="4"/>
  <c r="AF127" i="4"/>
  <c r="AF72" i="4"/>
  <c r="AD103" i="4"/>
  <c r="AN152" i="4"/>
  <c r="AN137" i="4"/>
  <c r="AN87" i="4"/>
  <c r="AJ172" i="4"/>
  <c r="AJ139" i="4"/>
  <c r="AJ125" i="4"/>
  <c r="AJ90" i="4"/>
  <c r="AJ72" i="4"/>
  <c r="AJ22" i="4"/>
  <c r="AJ5" i="4"/>
  <c r="AH152" i="4"/>
  <c r="AH137" i="4"/>
  <c r="AH103" i="4"/>
  <c r="AH67" i="4"/>
  <c r="AF175" i="4"/>
  <c r="AF143" i="4"/>
  <c r="AF125" i="4"/>
  <c r="AF39" i="4"/>
  <c r="AF14" i="4"/>
  <c r="AD179" i="4"/>
  <c r="AD140" i="4"/>
  <c r="AD100" i="4"/>
  <c r="AD60" i="4"/>
  <c r="AD18" i="4"/>
  <c r="AB160" i="4"/>
  <c r="AB143" i="4"/>
  <c r="AB124" i="4"/>
  <c r="AB106" i="4"/>
  <c r="AB63" i="4"/>
  <c r="AB6" i="4"/>
  <c r="W171" i="4"/>
  <c r="W149" i="4"/>
  <c r="W132" i="4"/>
  <c r="W110" i="4"/>
  <c r="W90" i="4"/>
  <c r="W10" i="4"/>
  <c r="U148" i="4"/>
  <c r="U131" i="4"/>
  <c r="U83" i="4"/>
  <c r="U63" i="4"/>
  <c r="U22" i="4"/>
  <c r="AL176" i="4"/>
  <c r="AL164" i="4"/>
  <c r="AL152" i="4"/>
  <c r="AL140" i="4"/>
  <c r="AL128" i="4"/>
  <c r="AL115" i="4"/>
  <c r="AL103" i="4"/>
  <c r="AL87" i="4"/>
  <c r="AL75" i="4"/>
  <c r="AL63" i="4"/>
  <c r="AL39" i="4"/>
  <c r="AL18" i="4"/>
  <c r="AL6" i="4"/>
  <c r="U39" i="4"/>
  <c r="AJ128" i="4"/>
  <c r="AB164" i="4"/>
  <c r="AN60" i="4"/>
  <c r="AH140" i="4"/>
  <c r="AF87" i="4"/>
  <c r="AD3" i="4"/>
  <c r="AN74" i="4"/>
  <c r="AN168" i="4"/>
  <c r="AN167" i="4"/>
  <c r="AN151" i="4"/>
  <c r="AN136" i="4"/>
  <c r="AN107" i="4"/>
  <c r="AN86" i="4"/>
  <c r="AN72" i="4"/>
  <c r="AN22" i="4"/>
  <c r="AN6" i="4"/>
  <c r="AJ124" i="4"/>
  <c r="AJ87" i="4"/>
  <c r="AJ71" i="4"/>
  <c r="AJ21" i="4"/>
  <c r="AH151" i="4"/>
  <c r="AH136" i="4"/>
  <c r="AH119" i="4"/>
  <c r="AH26" i="4"/>
  <c r="AF140" i="4"/>
  <c r="AF124" i="4"/>
  <c r="AF106" i="4"/>
  <c r="AF84" i="4"/>
  <c r="AF38" i="4"/>
  <c r="AD176" i="4"/>
  <c r="AD119" i="4"/>
  <c r="AD99" i="4"/>
  <c r="AD75" i="4"/>
  <c r="AD59" i="4"/>
  <c r="AB159" i="4"/>
  <c r="AB123" i="4"/>
  <c r="AB103" i="4"/>
  <c r="W147" i="4"/>
  <c r="W131" i="4"/>
  <c r="W67" i="4"/>
  <c r="W26" i="4"/>
  <c r="U147" i="4"/>
  <c r="U128" i="4"/>
  <c r="U82" i="4"/>
  <c r="U60" i="4"/>
  <c r="U21" i="4"/>
  <c r="AL175" i="4"/>
  <c r="AL163" i="4"/>
  <c r="AL151" i="4"/>
  <c r="AL139" i="4"/>
  <c r="AL127" i="4"/>
  <c r="AL114" i="4"/>
  <c r="AL102" i="4"/>
  <c r="AL86" i="4"/>
  <c r="AL74" i="4"/>
  <c r="AL62" i="4"/>
  <c r="AL38" i="4"/>
  <c r="AL17" i="4"/>
  <c r="AL5" i="4"/>
  <c r="AT135" i="4"/>
  <c r="AB39" i="4"/>
  <c r="AN164" i="4"/>
  <c r="AJ137" i="4"/>
  <c r="AJ86" i="4"/>
  <c r="AJ18" i="4"/>
  <c r="AJ3" i="4"/>
  <c r="AH115" i="4"/>
  <c r="AH100" i="4"/>
  <c r="AH63" i="4"/>
  <c r="AF139" i="4"/>
  <c r="AF103" i="4"/>
  <c r="AD137" i="4"/>
  <c r="AD115" i="4"/>
  <c r="AD15" i="4"/>
  <c r="AB176" i="4"/>
  <c r="AB3" i="4"/>
  <c r="W128" i="4"/>
  <c r="W6" i="4"/>
  <c r="U125" i="4"/>
  <c r="U103" i="4"/>
  <c r="U18" i="4"/>
  <c r="AL174" i="4"/>
  <c r="AL162" i="4"/>
  <c r="AL150" i="4"/>
  <c r="AL138" i="4"/>
  <c r="AL126" i="4"/>
  <c r="AL113" i="4"/>
  <c r="AL101" i="4"/>
  <c r="AL85" i="4"/>
  <c r="AL73" i="4"/>
  <c r="AL61" i="4"/>
  <c r="AL37" i="4"/>
  <c r="AL16" i="4"/>
  <c r="AL4" i="4"/>
  <c r="AN163" i="4"/>
  <c r="AN149" i="4"/>
  <c r="AN103" i="4"/>
  <c r="AN84" i="4"/>
  <c r="AN18" i="4"/>
  <c r="AN3" i="4"/>
  <c r="AJ103" i="4"/>
  <c r="AJ17" i="4"/>
  <c r="AH149" i="4"/>
  <c r="AH114" i="4"/>
  <c r="AF102" i="4"/>
  <c r="AF27" i="4"/>
  <c r="AD173" i="4"/>
  <c r="AD152" i="4"/>
  <c r="AD72" i="4"/>
  <c r="AB100" i="4"/>
  <c r="W63" i="4"/>
  <c r="U100" i="4"/>
  <c r="U15" i="4"/>
  <c r="AL173" i="4"/>
  <c r="AL161" i="4"/>
  <c r="AL149" i="4"/>
  <c r="AL137" i="4"/>
  <c r="AL125" i="4"/>
  <c r="AL112" i="4"/>
  <c r="AL100" i="4"/>
  <c r="AL84" i="4"/>
  <c r="AL60" i="4"/>
  <c r="AL27" i="4"/>
  <c r="AL15" i="4"/>
  <c r="AL3" i="4"/>
  <c r="AN17" i="4"/>
  <c r="AJ102" i="4"/>
  <c r="AH75" i="4"/>
  <c r="AD112" i="4"/>
  <c r="AB173" i="4"/>
  <c r="W164" i="4"/>
  <c r="AL172" i="4"/>
  <c r="AL160" i="4"/>
  <c r="AL148" i="4"/>
  <c r="AL136" i="4"/>
  <c r="AL124" i="4"/>
  <c r="AL111" i="4"/>
  <c r="AL99" i="4"/>
  <c r="AL83" i="4"/>
  <c r="AL71" i="4"/>
  <c r="AL59" i="4"/>
  <c r="AL14" i="4"/>
  <c r="AJ115" i="4"/>
  <c r="AF115" i="4"/>
  <c r="AJ152" i="4"/>
  <c r="AJ84" i="4"/>
  <c r="AJ39" i="4"/>
  <c r="AH164" i="4"/>
  <c r="AH60" i="4"/>
  <c r="AH6" i="4"/>
  <c r="AF137" i="4"/>
  <c r="W3" i="4"/>
  <c r="AN161" i="4"/>
  <c r="AN100" i="4"/>
  <c r="AJ167" i="4"/>
  <c r="AJ149" i="4"/>
  <c r="AJ119" i="4"/>
  <c r="AJ38" i="4"/>
  <c r="AJ14" i="4"/>
  <c r="AH163" i="4"/>
  <c r="AH131" i="4"/>
  <c r="AH74" i="4"/>
  <c r="AH59" i="4"/>
  <c r="AH22" i="4"/>
  <c r="AF119" i="4"/>
  <c r="AF62" i="4"/>
  <c r="AD90" i="4"/>
  <c r="AD42" i="4"/>
  <c r="AB155" i="4"/>
  <c r="AB118" i="4"/>
  <c r="AB75" i="4"/>
  <c r="AB43" i="4"/>
  <c r="AB18" i="4"/>
  <c r="W143" i="4"/>
  <c r="W60" i="4"/>
  <c r="U161" i="4"/>
  <c r="U42" i="4"/>
  <c r="AB120" i="4"/>
  <c r="W120" i="4"/>
  <c r="U120" i="4"/>
  <c r="AN120" i="4"/>
  <c r="AL120" i="4"/>
  <c r="AT112" i="4"/>
  <c r="AT143" i="4"/>
  <c r="AT165" i="4"/>
  <c r="AT153" i="4"/>
  <c r="AT141" i="4"/>
  <c r="AT129" i="4"/>
  <c r="AT116" i="4"/>
  <c r="AT104" i="4"/>
  <c r="AT88" i="4"/>
  <c r="AT76" i="4"/>
  <c r="AT64" i="4"/>
  <c r="AT40" i="4"/>
  <c r="AT19" i="4"/>
  <c r="AT7" i="4"/>
  <c r="AT176" i="4"/>
  <c r="AT164" i="4"/>
  <c r="AT152" i="4"/>
  <c r="AT140" i="4"/>
  <c r="AT128" i="4"/>
  <c r="AT115" i="4"/>
  <c r="AT103" i="4"/>
  <c r="AT87" i="4"/>
  <c r="AT75" i="4"/>
  <c r="AT177" i="4"/>
  <c r="AT170" i="4"/>
  <c r="AT158" i="4"/>
  <c r="AT146" i="4"/>
  <c r="AT134" i="4"/>
  <c r="AT122" i="4"/>
  <c r="AT109" i="4"/>
  <c r="AT93" i="4"/>
  <c r="AT81" i="4"/>
  <c r="AT69" i="4"/>
  <c r="AT57" i="4"/>
  <c r="AT24" i="4"/>
  <c r="AT12" i="4"/>
  <c r="AT22" i="4"/>
  <c r="AT10" i="4"/>
  <c r="AT178" i="4"/>
  <c r="AT142" i="4"/>
  <c r="AT105" i="4"/>
  <c r="AT65" i="4"/>
  <c r="AT8" i="4"/>
  <c r="AT63" i="4"/>
  <c r="AT175" i="4"/>
  <c r="AT163" i="4"/>
  <c r="AT151" i="4"/>
  <c r="AT139" i="4"/>
  <c r="AT174" i="4"/>
  <c r="AT138" i="4"/>
  <c r="AT101" i="4"/>
  <c r="AT61" i="4"/>
  <c r="AT4" i="4"/>
  <c r="AT159" i="4"/>
  <c r="AT123" i="4"/>
  <c r="AT82" i="4"/>
  <c r="AT25" i="4"/>
  <c r="AT169" i="4"/>
  <c r="AT133" i="4"/>
  <c r="AT92" i="4"/>
  <c r="AT56" i="4"/>
  <c r="AT39" i="4"/>
  <c r="AT18" i="4"/>
  <c r="AT6" i="4"/>
  <c r="AT127" i="4"/>
  <c r="AT114" i="4"/>
  <c r="AT102" i="4"/>
  <c r="AT86" i="4"/>
  <c r="AT74" i="4"/>
  <c r="AT62" i="4"/>
  <c r="AT38" i="4"/>
  <c r="AT17" i="4"/>
  <c r="AT5" i="4"/>
  <c r="AN175" i="4"/>
  <c r="AN102" i="4"/>
  <c r="AN5" i="4"/>
  <c r="AJ144" i="4"/>
  <c r="AJ113" i="4"/>
  <c r="AJ67" i="4"/>
  <c r="AJ16" i="4"/>
  <c r="AH169" i="4"/>
  <c r="AH155" i="4"/>
  <c r="AH139" i="4"/>
  <c r="AH125" i="4"/>
  <c r="AH92" i="4"/>
  <c r="AH78" i="4"/>
  <c r="AH62" i="4"/>
  <c r="AH27" i="4"/>
  <c r="AF180" i="4"/>
  <c r="AF150" i="4"/>
  <c r="AF136" i="4"/>
  <c r="AF107" i="4"/>
  <c r="AF73" i="4"/>
  <c r="AF59" i="4"/>
  <c r="AF10" i="4"/>
  <c r="AD175" i="4"/>
  <c r="AD161" i="4"/>
  <c r="AD133" i="4"/>
  <c r="AD118" i="4"/>
  <c r="AD102" i="4"/>
  <c r="AD84" i="4"/>
  <c r="AD56" i="4"/>
  <c r="AD21" i="4"/>
  <c r="AD5" i="4"/>
  <c r="AB172" i="4"/>
  <c r="AB144" i="4"/>
  <c r="AB113" i="4"/>
  <c r="AB99" i="4"/>
  <c r="AB67" i="4"/>
  <c r="AB16" i="4"/>
  <c r="W169" i="4"/>
  <c r="W155" i="4"/>
  <c r="W139" i="4"/>
  <c r="W125" i="4"/>
  <c r="W92" i="4"/>
  <c r="W78" i="4"/>
  <c r="W62" i="4"/>
  <c r="W27" i="4"/>
  <c r="U180" i="4"/>
  <c r="U163" i="4"/>
  <c r="U114" i="4"/>
  <c r="U79" i="4"/>
  <c r="U62" i="4"/>
  <c r="U10" i="4"/>
  <c r="AD114" i="4"/>
  <c r="AD17" i="4"/>
  <c r="W151" i="4"/>
  <c r="W74" i="4"/>
  <c r="AB139" i="4"/>
  <c r="AB62" i="4"/>
  <c r="U175" i="4"/>
  <c r="U127" i="4"/>
  <c r="U74" i="4"/>
  <c r="U5" i="4"/>
  <c r="AD127" i="4"/>
  <c r="AD38" i="4"/>
  <c r="W163" i="4"/>
  <c r="W86" i="4"/>
  <c r="AJ151" i="4"/>
  <c r="AJ74" i="4"/>
  <c r="AF114" i="4"/>
  <c r="AF17" i="4"/>
  <c r="AD156" i="4"/>
  <c r="AD126" i="4"/>
  <c r="AD37" i="4"/>
  <c r="AB151" i="4"/>
  <c r="AB108" i="4"/>
  <c r="AB74" i="4"/>
  <c r="W162" i="4"/>
  <c r="W85" i="4"/>
  <c r="W71" i="4"/>
  <c r="U172" i="4"/>
  <c r="U56" i="4"/>
  <c r="AN139" i="4"/>
  <c r="AN62" i="4"/>
  <c r="AJ180" i="4"/>
  <c r="AJ150" i="4"/>
  <c r="AJ107" i="4"/>
  <c r="AJ73" i="4"/>
  <c r="AH175" i="4"/>
  <c r="AH161" i="4"/>
  <c r="AH133" i="4"/>
  <c r="AH118" i="4"/>
  <c r="AH102" i="4"/>
  <c r="AH84" i="4"/>
  <c r="AH56" i="4"/>
  <c r="AH21" i="4"/>
  <c r="AH5" i="4"/>
  <c r="AF113" i="4"/>
  <c r="AF16" i="4"/>
  <c r="AD139" i="4"/>
  <c r="AB150" i="4"/>
  <c r="AB107" i="4"/>
  <c r="AB73" i="4"/>
  <c r="W175" i="4"/>
  <c r="W102" i="4"/>
  <c r="W5" i="4"/>
  <c r="U86" i="4"/>
  <c r="U17" i="4"/>
  <c r="AB163" i="4"/>
  <c r="AD151" i="4"/>
  <c r="AB102" i="4"/>
  <c r="U38" i="4"/>
  <c r="U178" i="4"/>
  <c r="U166" i="4"/>
  <c r="U154" i="4"/>
  <c r="U142" i="4"/>
  <c r="U130" i="4"/>
  <c r="U117" i="4"/>
  <c r="U105" i="4"/>
  <c r="U89" i="4"/>
  <c r="U77" i="4"/>
  <c r="U65" i="4"/>
  <c r="U41" i="4"/>
  <c r="U20" i="4"/>
  <c r="U8" i="4"/>
  <c r="W178" i="4"/>
  <c r="W166" i="4"/>
  <c r="W154" i="4"/>
  <c r="W142" i="4"/>
  <c r="W130" i="4"/>
  <c r="W117" i="4"/>
  <c r="W105" i="4"/>
  <c r="W89" i="4"/>
  <c r="W77" i="4"/>
  <c r="W65" i="4"/>
  <c r="W41" i="4"/>
  <c r="W20" i="4"/>
  <c r="W8" i="4"/>
  <c r="U177" i="4"/>
  <c r="U165" i="4"/>
  <c r="U153" i="4"/>
  <c r="U141" i="4"/>
  <c r="U129" i="4"/>
  <c r="U116" i="4"/>
  <c r="U104" i="4"/>
  <c r="U88" i="4"/>
  <c r="U76" i="4"/>
  <c r="U64" i="4"/>
  <c r="U40" i="4"/>
  <c r="U19" i="4"/>
  <c r="U7" i="4"/>
  <c r="AB178" i="4"/>
  <c r="AB166" i="4"/>
  <c r="AB154" i="4"/>
  <c r="AB142" i="4"/>
  <c r="AB130" i="4"/>
  <c r="AB117" i="4"/>
  <c r="AB105" i="4"/>
  <c r="AB89" i="4"/>
  <c r="AB77" i="4"/>
  <c r="AB65" i="4"/>
  <c r="AB41" i="4"/>
  <c r="AB20" i="4"/>
  <c r="AB8" i="4"/>
  <c r="W177" i="4"/>
  <c r="W165" i="4"/>
  <c r="W153" i="4"/>
  <c r="W141" i="4"/>
  <c r="W129" i="4"/>
  <c r="W116" i="4"/>
  <c r="W104" i="4"/>
  <c r="W88" i="4"/>
  <c r="W76" i="4"/>
  <c r="W64" i="4"/>
  <c r="W40" i="4"/>
  <c r="W19" i="4"/>
  <c r="W7" i="4"/>
  <c r="AD178" i="4"/>
  <c r="AD166" i="4"/>
  <c r="AD154" i="4"/>
  <c r="AD142" i="4"/>
  <c r="AD130" i="4"/>
  <c r="AD117" i="4"/>
  <c r="AD105" i="4"/>
  <c r="AD89" i="4"/>
  <c r="AD77" i="4"/>
  <c r="AD65" i="4"/>
  <c r="AD41" i="4"/>
  <c r="AD20" i="4"/>
  <c r="AD8" i="4"/>
  <c r="AB177" i="4"/>
  <c r="AB165" i="4"/>
  <c r="AB153" i="4"/>
  <c r="AB141" i="4"/>
  <c r="AB129" i="4"/>
  <c r="AB116" i="4"/>
  <c r="AB104" i="4"/>
  <c r="AB88" i="4"/>
  <c r="AB76" i="4"/>
  <c r="AB64" i="4"/>
  <c r="AB40" i="4"/>
  <c r="AB19" i="4"/>
  <c r="AB7" i="4"/>
  <c r="AF178" i="4"/>
  <c r="AF166" i="4"/>
  <c r="AF154" i="4"/>
  <c r="AF142" i="4"/>
  <c r="AF130" i="4"/>
  <c r="AF117" i="4"/>
  <c r="AF105" i="4"/>
  <c r="AF89" i="4"/>
  <c r="AF77" i="4"/>
  <c r="AF65" i="4"/>
  <c r="AF41" i="4"/>
  <c r="AF20" i="4"/>
  <c r="AF8" i="4"/>
  <c r="AD177" i="4"/>
  <c r="AD165" i="4"/>
  <c r="AD153" i="4"/>
  <c r="AD141" i="4"/>
  <c r="AD129" i="4"/>
  <c r="AD116" i="4"/>
  <c r="AD104" i="4"/>
  <c r="AD88" i="4"/>
  <c r="AD76" i="4"/>
  <c r="AD64" i="4"/>
  <c r="AD40" i="4"/>
  <c r="AD19" i="4"/>
  <c r="AD7" i="4"/>
  <c r="AH178" i="4"/>
  <c r="AH166" i="4"/>
  <c r="AH154" i="4"/>
  <c r="AH142" i="4"/>
  <c r="AH130" i="4"/>
  <c r="AH117" i="4"/>
  <c r="AH105" i="4"/>
  <c r="AH89" i="4"/>
  <c r="AH77" i="4"/>
  <c r="AH65" i="4"/>
  <c r="AH41" i="4"/>
  <c r="AH20" i="4"/>
  <c r="AH8" i="4"/>
  <c r="AF177" i="4"/>
  <c r="AF165" i="4"/>
  <c r="AF153" i="4"/>
  <c r="AF141" i="4"/>
  <c r="AF129" i="4"/>
  <c r="AF116" i="4"/>
  <c r="AF104" i="4"/>
  <c r="AF88" i="4"/>
  <c r="AF76" i="4"/>
  <c r="AF64" i="4"/>
  <c r="AF40" i="4"/>
  <c r="AF19" i="4"/>
  <c r="AF7" i="4"/>
  <c r="AJ178" i="4"/>
  <c r="AJ166" i="4"/>
  <c r="AJ154" i="4"/>
  <c r="AJ142" i="4"/>
  <c r="AJ130" i="4"/>
  <c r="AJ117" i="4"/>
  <c r="AJ105" i="4"/>
  <c r="AJ89" i="4"/>
  <c r="AJ77" i="4"/>
  <c r="AJ65" i="4"/>
  <c r="AJ41" i="4"/>
  <c r="AJ20" i="4"/>
  <c r="AJ8" i="4"/>
  <c r="AH177" i="4"/>
  <c r="AH165" i="4"/>
  <c r="AH153" i="4"/>
  <c r="AH141" i="4"/>
  <c r="AH129" i="4"/>
  <c r="AH116" i="4"/>
  <c r="AH104" i="4"/>
  <c r="AH88" i="4"/>
  <c r="AH76" i="4"/>
  <c r="AH64" i="4"/>
  <c r="AH40" i="4"/>
  <c r="AH19" i="4"/>
  <c r="AH7" i="4"/>
  <c r="AJ177" i="4"/>
  <c r="AJ165" i="4"/>
  <c r="AJ153" i="4"/>
  <c r="AJ141" i="4"/>
  <c r="AJ129" i="4"/>
  <c r="AJ116" i="4"/>
  <c r="AJ104" i="4"/>
  <c r="AJ88" i="4"/>
  <c r="AJ76" i="4"/>
  <c r="AJ64" i="4"/>
  <c r="AJ40" i="4"/>
  <c r="AJ19" i="4"/>
  <c r="AJ7" i="4"/>
  <c r="G29" i="6" l="1"/>
  <c r="G30" i="6"/>
  <c r="G31" i="6"/>
  <c r="G32" i="6"/>
  <c r="G33" i="6"/>
  <c r="G34" i="6"/>
  <c r="G35" i="6"/>
  <c r="G36" i="6"/>
  <c r="G44" i="6"/>
  <c r="G45" i="6"/>
  <c r="G46" i="6"/>
  <c r="G47" i="6"/>
  <c r="G48" i="6"/>
  <c r="G49" i="6"/>
  <c r="G50" i="6"/>
  <c r="G51" i="6"/>
  <c r="G52" i="6"/>
  <c r="G53" i="6"/>
  <c r="G54" i="6"/>
  <c r="G55" i="6"/>
  <c r="G95" i="6"/>
  <c r="G96" i="6"/>
  <c r="G97" i="6"/>
  <c r="G98" i="6"/>
  <c r="H29" i="6"/>
  <c r="H30" i="6"/>
  <c r="H31" i="6"/>
  <c r="H32" i="6"/>
  <c r="H33" i="6"/>
  <c r="H34" i="6"/>
  <c r="H35" i="6"/>
  <c r="H36" i="6"/>
  <c r="H44" i="6"/>
  <c r="H45" i="6"/>
  <c r="H46" i="6"/>
  <c r="H47" i="6"/>
  <c r="H48" i="6"/>
  <c r="H49" i="6"/>
  <c r="H50" i="6"/>
  <c r="H51" i="6"/>
  <c r="H52" i="6"/>
  <c r="H53" i="6"/>
  <c r="H54" i="6"/>
  <c r="H55" i="6"/>
  <c r="H95" i="6"/>
  <c r="H96" i="6"/>
  <c r="H97" i="6"/>
  <c r="H98" i="6"/>
  <c r="J29" i="6"/>
  <c r="J30" i="6"/>
  <c r="J31" i="6"/>
  <c r="J32" i="6"/>
  <c r="J33" i="6"/>
  <c r="J34" i="6"/>
  <c r="J35" i="6"/>
  <c r="J36" i="6"/>
  <c r="J44" i="6"/>
  <c r="J45" i="6"/>
  <c r="J46" i="6"/>
  <c r="J47" i="6"/>
  <c r="J48" i="6"/>
  <c r="J49" i="6"/>
  <c r="J50" i="6"/>
  <c r="J51" i="6"/>
  <c r="J52" i="6"/>
  <c r="J53" i="6"/>
  <c r="J54" i="6"/>
  <c r="J55" i="6"/>
  <c r="J95" i="6"/>
  <c r="J96" i="6"/>
  <c r="J97" i="6"/>
  <c r="J98" i="6"/>
  <c r="O29" i="6"/>
  <c r="O30" i="6"/>
  <c r="O31" i="6"/>
  <c r="O32" i="6"/>
  <c r="O33" i="6"/>
  <c r="O34" i="6"/>
  <c r="O35" i="6"/>
  <c r="O36" i="6"/>
  <c r="O44" i="6"/>
  <c r="O45" i="6"/>
  <c r="O46" i="6"/>
  <c r="O47" i="6"/>
  <c r="O48" i="6"/>
  <c r="O49" i="6"/>
  <c r="O50" i="6"/>
  <c r="O51" i="6"/>
  <c r="O52" i="6"/>
  <c r="O53" i="6"/>
  <c r="O54" i="6"/>
  <c r="O55" i="6"/>
  <c r="O95" i="6"/>
  <c r="O96" i="6"/>
  <c r="O97" i="6"/>
  <c r="O98" i="6"/>
  <c r="P29" i="6"/>
  <c r="P30" i="6"/>
  <c r="P31" i="6"/>
  <c r="P32" i="6"/>
  <c r="P33" i="6"/>
  <c r="P34" i="6"/>
  <c r="P35" i="6"/>
  <c r="P36" i="6"/>
  <c r="P44" i="6"/>
  <c r="P45" i="6"/>
  <c r="P46" i="6"/>
  <c r="P47" i="6"/>
  <c r="P48" i="6"/>
  <c r="P49" i="6"/>
  <c r="P50" i="6"/>
  <c r="P51" i="6"/>
  <c r="P52" i="6"/>
  <c r="P53" i="6"/>
  <c r="P54" i="6"/>
  <c r="P55" i="6"/>
  <c r="P95" i="6"/>
  <c r="P96" i="6"/>
  <c r="P97" i="6"/>
  <c r="P98" i="6"/>
  <c r="T29" i="6"/>
  <c r="AF29" i="6" s="1"/>
  <c r="T30" i="6"/>
  <c r="AH30" i="6" s="1"/>
  <c r="T31" i="6"/>
  <c r="AH31" i="6" s="1"/>
  <c r="T32" i="6"/>
  <c r="AJ32" i="6" s="1"/>
  <c r="T33" i="6"/>
  <c r="W33" i="6" s="1"/>
  <c r="T34" i="6"/>
  <c r="W34" i="6" s="1"/>
  <c r="T35" i="6"/>
  <c r="U35" i="6" s="1"/>
  <c r="T36" i="6"/>
  <c r="W36" i="6" s="1"/>
  <c r="T44" i="6"/>
  <c r="W44" i="6" s="1"/>
  <c r="T45" i="6"/>
  <c r="AF45" i="6" s="1"/>
  <c r="T46" i="6"/>
  <c r="W46" i="6" s="1"/>
  <c r="T47" i="6"/>
  <c r="AJ47" i="6" s="1"/>
  <c r="T48" i="6"/>
  <c r="AD48" i="6" s="1"/>
  <c r="T49" i="6"/>
  <c r="AF49" i="6" s="1"/>
  <c r="T50" i="6"/>
  <c r="AH50" i="6" s="1"/>
  <c r="T51" i="6"/>
  <c r="AJ51" i="6" s="1"/>
  <c r="T52" i="6"/>
  <c r="AL52" i="6" s="1"/>
  <c r="T53" i="6"/>
  <c r="AH53" i="6" s="1"/>
  <c r="T54" i="6"/>
  <c r="U54" i="6" s="1"/>
  <c r="T55" i="6"/>
  <c r="W55" i="6" s="1"/>
  <c r="T95" i="6"/>
  <c r="W95" i="6" s="1"/>
  <c r="T96" i="6"/>
  <c r="AF96" i="6" s="1"/>
  <c r="T97" i="6"/>
  <c r="AJ97" i="6" s="1"/>
  <c r="T98" i="6"/>
  <c r="AH98" i="6" s="1"/>
  <c r="U29" i="6"/>
  <c r="AP29" i="6"/>
  <c r="AP30" i="6"/>
  <c r="AP31" i="6"/>
  <c r="AP32" i="6"/>
  <c r="AP33" i="6"/>
  <c r="AP34" i="6"/>
  <c r="AP35" i="6"/>
  <c r="AP36" i="6"/>
  <c r="AP44" i="6"/>
  <c r="AP45" i="6"/>
  <c r="AP46" i="6"/>
  <c r="AP47" i="6"/>
  <c r="AP48" i="6"/>
  <c r="AP49" i="6"/>
  <c r="AP50" i="6"/>
  <c r="AP51" i="6"/>
  <c r="AP52" i="6"/>
  <c r="AP53" i="6"/>
  <c r="AP54" i="6"/>
  <c r="AP95" i="6"/>
  <c r="AP96" i="6"/>
  <c r="AP97" i="6"/>
  <c r="AP98" i="6"/>
  <c r="AQ29" i="6"/>
  <c r="AQ30" i="6"/>
  <c r="AQ31" i="6"/>
  <c r="AQ32" i="6"/>
  <c r="AQ33" i="6"/>
  <c r="AQ34" i="6"/>
  <c r="AQ35" i="6"/>
  <c r="AQ36" i="6"/>
  <c r="AQ44" i="6"/>
  <c r="AQ45" i="6"/>
  <c r="AQ46" i="6"/>
  <c r="AQ47" i="6"/>
  <c r="AQ48" i="6"/>
  <c r="AQ49" i="6"/>
  <c r="AQ50" i="6"/>
  <c r="AQ51" i="6"/>
  <c r="AQ52" i="6"/>
  <c r="AQ53" i="6"/>
  <c r="AQ55" i="6"/>
  <c r="AQ95" i="6"/>
  <c r="AQ96" i="6"/>
  <c r="AQ97" i="6"/>
  <c r="AQ98" i="6"/>
  <c r="AK184" i="6"/>
  <c r="AI184" i="6"/>
  <c r="AG184" i="6"/>
  <c r="AE184" i="6"/>
  <c r="AC184" i="6"/>
  <c r="AA184" i="6"/>
  <c r="X184" i="6"/>
  <c r="N184" i="6"/>
  <c r="M184" i="6"/>
  <c r="I184" i="6"/>
  <c r="AQ28" i="6"/>
  <c r="AP28" i="6"/>
  <c r="T28" i="6"/>
  <c r="W28" i="6" s="1"/>
  <c r="P28" i="6"/>
  <c r="O28" i="6"/>
  <c r="J28" i="6"/>
  <c r="H28" i="6"/>
  <c r="G28" i="6"/>
  <c r="J183" i="3"/>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G120" i="3"/>
  <c r="H120" i="3"/>
  <c r="O120" i="3"/>
  <c r="P120" i="3"/>
  <c r="AN120"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O3" i="3"/>
  <c r="O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P3" i="3"/>
  <c r="P4"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AJ3" i="3"/>
  <c r="W4" i="3"/>
  <c r="AB5" i="3"/>
  <c r="AH6" i="3"/>
  <c r="AN7" i="3"/>
  <c r="AJ8" i="3"/>
  <c r="AJ9" i="3"/>
  <c r="AB10" i="3"/>
  <c r="W11" i="3"/>
  <c r="W12" i="3"/>
  <c r="AF13" i="3"/>
  <c r="U14" i="3"/>
  <c r="AF15" i="3"/>
  <c r="AJ16" i="3"/>
  <c r="AD17" i="3"/>
  <c r="AB18" i="3"/>
  <c r="U19" i="3"/>
  <c r="U20" i="3"/>
  <c r="AF21" i="3"/>
  <c r="U22" i="3"/>
  <c r="U23" i="3"/>
  <c r="AF24" i="3"/>
  <c r="AN25" i="3"/>
  <c r="AJ27" i="3"/>
  <c r="AB28" i="3"/>
  <c r="W29" i="3"/>
  <c r="AP30" i="3"/>
  <c r="W31" i="3"/>
  <c r="U32" i="3"/>
  <c r="AJ33" i="3"/>
  <c r="AD34" i="3"/>
  <c r="AD35" i="3"/>
  <c r="AF36" i="3"/>
  <c r="U37" i="3"/>
  <c r="AJ39" i="3"/>
  <c r="U40" i="3"/>
  <c r="U41" i="3"/>
  <c r="AJ42" i="3"/>
  <c r="AF43" i="3"/>
  <c r="U44" i="3"/>
  <c r="AF45" i="3"/>
  <c r="AD46" i="3"/>
  <c r="AB47" i="3"/>
  <c r="U48" i="3"/>
  <c r="AB49" i="3"/>
  <c r="W51" i="3"/>
  <c r="W52" i="3"/>
  <c r="AF53" i="3"/>
  <c r="W54" i="3"/>
  <c r="AF55" i="3"/>
  <c r="U56" i="3"/>
  <c r="AJ57" i="3"/>
  <c r="AF58" i="3"/>
  <c r="AH59" i="3"/>
  <c r="W60" i="3"/>
  <c r="AJ61" i="3"/>
  <c r="AB63" i="3"/>
  <c r="AF64" i="3"/>
  <c r="AB65" i="3"/>
  <c r="AP66" i="3"/>
  <c r="W67" i="3"/>
  <c r="U68" i="3"/>
  <c r="AJ69" i="3"/>
  <c r="AF70" i="3"/>
  <c r="AJ71" i="3"/>
  <c r="U72" i="3"/>
  <c r="AL73" i="3"/>
  <c r="AH75" i="3"/>
  <c r="AH76" i="3"/>
  <c r="AD77" i="3"/>
  <c r="AF78" i="3"/>
  <c r="AB79" i="3"/>
  <c r="U80" i="3"/>
  <c r="AH81" i="3"/>
  <c r="AF82" i="3"/>
  <c r="AD83" i="3"/>
  <c r="W84" i="3"/>
  <c r="AN85" i="3"/>
  <c r="AB87" i="3"/>
  <c r="AD88" i="3"/>
  <c r="AB89" i="3"/>
  <c r="AN90" i="3"/>
  <c r="AH91" i="3"/>
  <c r="U92" i="3"/>
  <c r="AJ93" i="3"/>
  <c r="U94" i="3"/>
  <c r="W95" i="3"/>
  <c r="U96" i="3"/>
  <c r="AD97" i="3"/>
  <c r="AT98" i="3"/>
  <c r="AD99" i="3"/>
  <c r="AF100" i="3"/>
  <c r="AD101" i="3"/>
  <c r="AR102" i="3"/>
  <c r="AD103" i="3"/>
  <c r="U104" i="3"/>
  <c r="AH105" i="3"/>
  <c r="W106" i="3"/>
  <c r="AB107" i="3"/>
  <c r="AN108" i="3"/>
  <c r="AD109" i="3"/>
  <c r="AT110" i="3"/>
  <c r="U111" i="3"/>
  <c r="U112" i="3"/>
  <c r="AF113" i="3"/>
  <c r="AL114" i="3"/>
  <c r="AB115" i="3"/>
  <c r="U116" i="3"/>
  <c r="AF117" i="3"/>
  <c r="AF118" i="3"/>
  <c r="AF119" i="3"/>
  <c r="AJ121" i="3"/>
  <c r="U122" i="3"/>
  <c r="AT123" i="3"/>
  <c r="U124" i="3"/>
  <c r="AB125" i="3"/>
  <c r="AH126" i="3"/>
  <c r="AH127" i="3"/>
  <c r="U128" i="3"/>
  <c r="U129" i="3"/>
  <c r="AH130" i="3"/>
  <c r="U131" i="3"/>
  <c r="AB132" i="3"/>
  <c r="AP133" i="3"/>
  <c r="AD134" i="3"/>
  <c r="AT135" i="3"/>
  <c r="W136" i="3"/>
  <c r="AP137" i="3"/>
  <c r="U138" i="3"/>
  <c r="AD139" i="3"/>
  <c r="W140" i="3"/>
  <c r="U141" i="3"/>
  <c r="AF142" i="3"/>
  <c r="AH143" i="3"/>
  <c r="AJ144" i="3"/>
  <c r="AF145" i="3"/>
  <c r="AH146" i="3"/>
  <c r="AT147" i="3"/>
  <c r="AR148" i="3"/>
  <c r="U149" i="3"/>
  <c r="AD150" i="3"/>
  <c r="AL151" i="3"/>
  <c r="AB152" i="3"/>
  <c r="U153" i="3"/>
  <c r="AR154" i="3"/>
  <c r="AF155" i="3"/>
  <c r="AD156" i="3"/>
  <c r="AJ157" i="3"/>
  <c r="AH158" i="3"/>
  <c r="AT159" i="3"/>
  <c r="U160" i="3"/>
  <c r="U161" i="3"/>
  <c r="W162" i="3"/>
  <c r="AB163" i="3"/>
  <c r="AJ164" i="3"/>
  <c r="U165" i="3"/>
  <c r="AP166" i="3"/>
  <c r="AD167" i="3"/>
  <c r="AJ168" i="3"/>
  <c r="AD169" i="3"/>
  <c r="AH170" i="3"/>
  <c r="AT171" i="3"/>
  <c r="AH172" i="3"/>
  <c r="AJ173" i="3"/>
  <c r="AB174" i="3"/>
  <c r="AR175" i="3"/>
  <c r="AF176" i="3"/>
  <c r="U177" i="3"/>
  <c r="AH178" i="3"/>
  <c r="U179" i="3"/>
  <c r="AF180" i="3"/>
  <c r="AL181" i="3"/>
  <c r="U182" i="3"/>
  <c r="AT183" i="3"/>
  <c r="U3" i="3"/>
  <c r="U4" i="3"/>
  <c r="AZ4" i="3"/>
  <c r="AZ8" i="3"/>
  <c r="AZ11" i="3"/>
  <c r="AZ13" i="3"/>
  <c r="AZ14" i="3"/>
  <c r="AZ16" i="3"/>
  <c r="AZ22" i="3"/>
  <c r="AZ25" i="3"/>
  <c r="AZ30" i="3"/>
  <c r="AZ31" i="3"/>
  <c r="AZ34" i="3"/>
  <c r="AZ35" i="3"/>
  <c r="AZ36" i="3"/>
  <c r="AZ46" i="3"/>
  <c r="AZ52" i="3"/>
  <c r="AZ58" i="3"/>
  <c r="AZ60" i="3"/>
  <c r="AZ61" i="3"/>
  <c r="AZ70" i="3"/>
  <c r="AZ80" i="3"/>
  <c r="AZ82" i="3"/>
  <c r="AZ92" i="3"/>
  <c r="AZ94" i="3"/>
  <c r="AZ104" i="3"/>
  <c r="AZ106" i="3"/>
  <c r="AZ118" i="3"/>
  <c r="AZ129" i="3"/>
  <c r="AZ131" i="3"/>
  <c r="AZ134" i="3"/>
  <c r="AZ135" i="3"/>
  <c r="AZ143" i="3"/>
  <c r="AZ155" i="3"/>
  <c r="AZ157" i="3"/>
  <c r="AZ163" i="3"/>
  <c r="AZ167" i="3"/>
  <c r="AZ169" i="3"/>
  <c r="AZ171" i="3"/>
  <c r="AZ175" i="3"/>
  <c r="AZ3" i="3"/>
  <c r="F68" i="3"/>
  <c r="F148" i="3"/>
  <c r="F83" i="3"/>
  <c r="F84" i="3"/>
  <c r="F12" i="3"/>
  <c r="F119" i="3"/>
  <c r="F171" i="3"/>
  <c r="F175" i="3"/>
  <c r="F143" i="3"/>
  <c r="F55" i="3"/>
  <c r="F146" i="3"/>
  <c r="F170" i="3"/>
  <c r="F79" i="3"/>
  <c r="F72" i="3"/>
  <c r="F117" i="3"/>
  <c r="F60" i="3"/>
  <c r="F144" i="3"/>
  <c r="F50" i="3"/>
  <c r="F104" i="3"/>
  <c r="F42" i="3"/>
  <c r="F167" i="3"/>
  <c r="F115" i="3"/>
  <c r="F169" i="3"/>
  <c r="F150" i="3"/>
  <c r="F166" i="3"/>
  <c r="F85" i="3"/>
  <c r="F153" i="3"/>
  <c r="F174" i="3"/>
  <c r="F113" i="3"/>
  <c r="F152" i="3"/>
  <c r="F70" i="3"/>
  <c r="F176" i="3"/>
  <c r="F15" i="3"/>
  <c r="F48" i="3"/>
  <c r="F127" i="3"/>
  <c r="F11" i="3"/>
  <c r="F108" i="3"/>
  <c r="F92" i="3"/>
  <c r="F183" i="3"/>
  <c r="F17" i="3"/>
  <c r="AR33" i="6" l="1"/>
  <c r="AR45" i="6"/>
  <c r="F101" i="3"/>
  <c r="F177" i="3"/>
  <c r="F54" i="3"/>
  <c r="F30" i="3"/>
  <c r="F6" i="3"/>
  <c r="F155" i="3"/>
  <c r="F160" i="3"/>
  <c r="F124" i="3"/>
  <c r="F163" i="3"/>
  <c r="F28" i="6"/>
  <c r="F103" i="3"/>
  <c r="F122" i="3"/>
  <c r="F172" i="3"/>
  <c r="F97" i="3"/>
  <c r="F182" i="3"/>
  <c r="F111" i="3"/>
  <c r="F98" i="3"/>
  <c r="F81" i="3"/>
  <c r="F99" i="3"/>
  <c r="F59" i="3"/>
  <c r="F82" i="3"/>
  <c r="F45" i="3"/>
  <c r="F38" i="3"/>
  <c r="F20" i="3"/>
  <c r="F157" i="3"/>
  <c r="F61" i="3"/>
  <c r="F114" i="3"/>
  <c r="F145" i="3"/>
  <c r="F25" i="3"/>
  <c r="F129" i="3"/>
  <c r="F135" i="3"/>
  <c r="F109" i="3"/>
  <c r="F120" i="3"/>
  <c r="F173" i="3"/>
  <c r="F96" i="6"/>
  <c r="F9" i="3"/>
  <c r="F18" i="3"/>
  <c r="F125" i="3"/>
  <c r="F128" i="3"/>
  <c r="F26" i="3"/>
  <c r="F19" i="3"/>
  <c r="F48" i="6"/>
  <c r="F137" i="3"/>
  <c r="F34" i="3"/>
  <c r="F7" i="3"/>
  <c r="F142" i="3"/>
  <c r="F33" i="3"/>
  <c r="F164" i="3"/>
  <c r="F55" i="6"/>
  <c r="F90" i="3"/>
  <c r="F93" i="3"/>
  <c r="F56" i="3"/>
  <c r="F31" i="3"/>
  <c r="F34" i="6"/>
  <c r="F47" i="3"/>
  <c r="F10" i="3"/>
  <c r="F36" i="3"/>
  <c r="F102" i="3"/>
  <c r="F44" i="6"/>
  <c r="F63" i="3"/>
  <c r="F139" i="3"/>
  <c r="F133" i="3"/>
  <c r="F161" i="3"/>
  <c r="F138" i="3"/>
  <c r="F91" i="3"/>
  <c r="F30" i="6"/>
  <c r="F51" i="3"/>
  <c r="F95" i="3"/>
  <c r="F106" i="3"/>
  <c r="F5" i="3"/>
  <c r="F13" i="3"/>
  <c r="F46" i="6"/>
  <c r="F53" i="6"/>
  <c r="F136" i="3"/>
  <c r="F53" i="3"/>
  <c r="F156" i="3"/>
  <c r="F52" i="3"/>
  <c r="F105" i="3"/>
  <c r="F45" i="6"/>
  <c r="F179" i="3"/>
  <c r="F73" i="3"/>
  <c r="F3" i="3"/>
  <c r="F46" i="3"/>
  <c r="F51" i="6"/>
  <c r="F27" i="3"/>
  <c r="F49" i="6"/>
  <c r="F37" i="3"/>
  <c r="F62" i="3"/>
  <c r="F49" i="3"/>
  <c r="F112" i="3"/>
  <c r="F154" i="3"/>
  <c r="F40" i="3"/>
  <c r="F39" i="3"/>
  <c r="F97" i="6"/>
  <c r="F58" i="3"/>
  <c r="F47" i="6"/>
  <c r="F130" i="3"/>
  <c r="F71" i="3"/>
  <c r="F80" i="3"/>
  <c r="F141" i="3"/>
  <c r="F8" i="3"/>
  <c r="F41" i="3"/>
  <c r="F151" i="3"/>
  <c r="F33" i="6"/>
  <c r="F116" i="3"/>
  <c r="F131" i="3"/>
  <c r="F147" i="3"/>
  <c r="F32" i="3"/>
  <c r="F158" i="3"/>
  <c r="F126" i="3"/>
  <c r="F89" i="3"/>
  <c r="F14" i="3"/>
  <c r="F107" i="3"/>
  <c r="F118" i="3"/>
  <c r="F24" i="3"/>
  <c r="F87" i="3"/>
  <c r="F29" i="3"/>
  <c r="F96" i="3"/>
  <c r="F32" i="6"/>
  <c r="F29" i="6"/>
  <c r="F44" i="3"/>
  <c r="F132" i="3"/>
  <c r="F88" i="3"/>
  <c r="F181" i="3"/>
  <c r="F22" i="3"/>
  <c r="F35" i="3"/>
  <c r="F86" i="3"/>
  <c r="F178" i="3"/>
  <c r="F110" i="3"/>
  <c r="F16" i="3"/>
  <c r="F69" i="3"/>
  <c r="F64" i="3"/>
  <c r="F43" i="3"/>
  <c r="F66" i="3"/>
  <c r="F36" i="6"/>
  <c r="F54" i="6"/>
  <c r="F74" i="3"/>
  <c r="F140" i="3"/>
  <c r="F65" i="3"/>
  <c r="F162" i="3"/>
  <c r="F159" i="3"/>
  <c r="F180" i="3"/>
  <c r="F50" i="6"/>
  <c r="F98" i="6"/>
  <c r="F23" i="3"/>
  <c r="F100" i="3"/>
  <c r="F149" i="3"/>
  <c r="F94" i="3"/>
  <c r="F28" i="3"/>
  <c r="F4" i="3"/>
  <c r="F165" i="3"/>
  <c r="F52" i="6"/>
  <c r="F78" i="3"/>
  <c r="F77" i="3"/>
  <c r="F75" i="3"/>
  <c r="F168" i="3"/>
  <c r="F57" i="3"/>
  <c r="F76" i="3"/>
  <c r="F95" i="6"/>
  <c r="F134" i="3"/>
  <c r="F35" i="6"/>
  <c r="F31" i="6"/>
  <c r="F67" i="3"/>
  <c r="F21" i="3"/>
  <c r="F123" i="3"/>
  <c r="F121" i="3"/>
  <c r="AR49" i="6" l="1"/>
  <c r="AR55" i="6"/>
  <c r="AH52" i="6"/>
  <c r="U32" i="6"/>
  <c r="U52" i="6"/>
  <c r="U31" i="6"/>
  <c r="AJ52" i="6"/>
  <c r="AJ33" i="6"/>
  <c r="AH33" i="6"/>
  <c r="AD52" i="6"/>
  <c r="AD33" i="6"/>
  <c r="U33" i="6"/>
  <c r="AJ34" i="6"/>
  <c r="AF44" i="6"/>
  <c r="AD35" i="6"/>
  <c r="AR51" i="6"/>
  <c r="AF52" i="6"/>
  <c r="AL50" i="6"/>
  <c r="AB52" i="6"/>
  <c r="AL33" i="6"/>
  <c r="W52" i="6"/>
  <c r="AJ35" i="6"/>
  <c r="W35" i="6"/>
  <c r="AL36" i="6"/>
  <c r="AB36" i="6"/>
  <c r="U30" i="6"/>
  <c r="AH35" i="6"/>
  <c r="AH36" i="6"/>
  <c r="AB50" i="6"/>
  <c r="AF97" i="6"/>
  <c r="AF53" i="6"/>
  <c r="W30" i="6"/>
  <c r="U95" i="6"/>
  <c r="AJ36" i="6"/>
  <c r="AF32" i="6"/>
  <c r="AJ95" i="6"/>
  <c r="AB35" i="6"/>
  <c r="AD44" i="6"/>
  <c r="AJ31" i="6"/>
  <c r="AD36" i="6"/>
  <c r="AL35" i="6"/>
  <c r="AH95" i="6"/>
  <c r="AF31" i="6"/>
  <c r="AH54" i="6"/>
  <c r="AJ54" i="6"/>
  <c r="AJ50" i="6"/>
  <c r="U49" i="6"/>
  <c r="AJ49" i="6"/>
  <c r="AH29" i="6"/>
  <c r="AB55" i="6"/>
  <c r="AB54" i="6"/>
  <c r="AL98" i="6"/>
  <c r="AR32" i="6"/>
  <c r="AR31" i="6"/>
  <c r="AJ55" i="6"/>
  <c r="AJ30" i="6"/>
  <c r="AF54" i="6"/>
  <c r="AD49" i="6"/>
  <c r="AB49" i="6"/>
  <c r="U97" i="6"/>
  <c r="AH97" i="6"/>
  <c r="AD46" i="6"/>
  <c r="AB46" i="6"/>
  <c r="AL97" i="6"/>
  <c r="AF46" i="6"/>
  <c r="AB30" i="6"/>
  <c r="U46" i="6"/>
  <c r="AL46" i="6"/>
  <c r="AJ46" i="6"/>
  <c r="AH49" i="6"/>
  <c r="AF35" i="6"/>
  <c r="W97" i="6"/>
  <c r="AL44" i="6"/>
  <c r="AJ44" i="6"/>
  <c r="AH46" i="6"/>
  <c r="AF33" i="6"/>
  <c r="AD30" i="6"/>
  <c r="W54" i="6"/>
  <c r="AB97" i="6"/>
  <c r="AR34" i="6"/>
  <c r="AD97" i="6"/>
  <c r="AD55" i="6"/>
  <c r="W31" i="6"/>
  <c r="AL32" i="6"/>
  <c r="AB48" i="6"/>
  <c r="W51" i="6"/>
  <c r="AL95" i="6"/>
  <c r="AL31" i="6"/>
  <c r="AJ48" i="6"/>
  <c r="AH55" i="6"/>
  <c r="AF95" i="6"/>
  <c r="AD32" i="6"/>
  <c r="W50" i="6"/>
  <c r="U51" i="6"/>
  <c r="AL30" i="6"/>
  <c r="AD95" i="6"/>
  <c r="AD31" i="6"/>
  <c r="AB44" i="6"/>
  <c r="W48" i="6"/>
  <c r="U50" i="6"/>
  <c r="AL51" i="6"/>
  <c r="AL29" i="6"/>
  <c r="AJ98" i="6"/>
  <c r="AD29" i="6"/>
  <c r="U48" i="6"/>
  <c r="AL49" i="6"/>
  <c r="AH48" i="6"/>
  <c r="AF51" i="6"/>
  <c r="AD51" i="6"/>
  <c r="AB33" i="6"/>
  <c r="AL48" i="6"/>
  <c r="AJ96" i="6"/>
  <c r="AF48" i="6"/>
  <c r="AD50" i="6"/>
  <c r="AB95" i="6"/>
  <c r="AB32" i="6"/>
  <c r="W32" i="6"/>
  <c r="U44" i="6"/>
  <c r="AB29" i="6"/>
  <c r="U98" i="6"/>
  <c r="AJ29" i="6"/>
  <c r="AH32" i="6"/>
  <c r="AR36" i="6"/>
  <c r="AR95" i="6"/>
  <c r="AR48" i="6"/>
  <c r="AR29" i="6"/>
  <c r="AR98" i="6"/>
  <c r="AR44" i="6"/>
  <c r="AR35" i="6"/>
  <c r="AR50" i="6"/>
  <c r="AR30" i="6"/>
  <c r="AR96" i="6"/>
  <c r="AR47" i="6"/>
  <c r="AR54" i="6"/>
  <c r="AR53" i="6"/>
  <c r="AR52" i="6"/>
  <c r="AR46" i="6"/>
  <c r="AR97" i="6"/>
  <c r="AH45" i="6"/>
  <c r="AL47" i="6"/>
  <c r="AJ45" i="6"/>
  <c r="AH96" i="6"/>
  <c r="AH44" i="6"/>
  <c r="AF55" i="6"/>
  <c r="AF36" i="6"/>
  <c r="AD54" i="6"/>
  <c r="AB51" i="6"/>
  <c r="AB31" i="6"/>
  <c r="W49" i="6"/>
  <c r="W29" i="6"/>
  <c r="U47" i="6"/>
  <c r="AL45" i="6"/>
  <c r="W47" i="6"/>
  <c r="U45" i="6"/>
  <c r="AL96" i="6"/>
  <c r="W98" i="6"/>
  <c r="U96" i="6"/>
  <c r="AB47" i="6"/>
  <c r="W45" i="6"/>
  <c r="U36" i="6"/>
  <c r="AL55" i="6"/>
  <c r="AH51" i="6"/>
  <c r="AF50" i="6"/>
  <c r="AF30" i="6"/>
  <c r="AB98" i="6"/>
  <c r="W96" i="6"/>
  <c r="U55" i="6"/>
  <c r="AL54" i="6"/>
  <c r="AD47" i="6"/>
  <c r="AB45" i="6"/>
  <c r="AD98" i="6"/>
  <c r="AB96" i="6"/>
  <c r="AF98" i="6"/>
  <c r="AF47" i="6"/>
  <c r="AD45" i="6"/>
  <c r="AH47" i="6"/>
  <c r="AD96" i="6"/>
  <c r="U53" i="6"/>
  <c r="N185" i="6"/>
  <c r="AL53" i="6"/>
  <c r="AJ53" i="6"/>
  <c r="AH34" i="6"/>
  <c r="AD53" i="6"/>
  <c r="AB53" i="6"/>
  <c r="AB34" i="6"/>
  <c r="U34" i="6"/>
  <c r="U28" i="6"/>
  <c r="AL34" i="6"/>
  <c r="AF34" i="6"/>
  <c r="W53" i="6"/>
  <c r="AB28" i="6"/>
  <c r="AD34" i="6"/>
  <c r="AK186" i="6"/>
  <c r="AP184" i="6"/>
  <c r="AP185" i="6" s="1"/>
  <c r="AQ184" i="6"/>
  <c r="AQ185" i="6" s="1"/>
  <c r="AR28" i="6"/>
  <c r="F184" i="6"/>
  <c r="AD28" i="6"/>
  <c r="AF28" i="6"/>
  <c r="T184" i="6"/>
  <c r="AA185" i="6" s="1"/>
  <c r="AH28" i="6"/>
  <c r="AJ28" i="6"/>
  <c r="AL28" i="6"/>
  <c r="AR70" i="3"/>
  <c r="AJ94" i="3"/>
  <c r="AR10" i="3"/>
  <c r="AP82" i="3"/>
  <c r="AL46" i="3"/>
  <c r="AB34" i="3"/>
  <c r="AZ20" i="3"/>
  <c r="AP10" i="3"/>
  <c r="AN58" i="3"/>
  <c r="AL22" i="3"/>
  <c r="AZ27" i="3"/>
  <c r="AJ34" i="3"/>
  <c r="AZ26" i="3"/>
  <c r="AT82" i="3"/>
  <c r="AD94" i="3"/>
  <c r="AT34" i="3"/>
  <c r="AD22" i="3"/>
  <c r="AT10" i="3"/>
  <c r="AD10" i="3"/>
  <c r="AZ19" i="3"/>
  <c r="AZ10" i="3"/>
  <c r="AZ23" i="3"/>
  <c r="AZ21" i="3"/>
  <c r="AZ9" i="3"/>
  <c r="AZ28" i="3"/>
  <c r="AZ7" i="3"/>
  <c r="AZ18" i="3"/>
  <c r="AZ6" i="3"/>
  <c r="AZ15" i="3"/>
  <c r="AT118" i="3"/>
  <c r="AZ29" i="3"/>
  <c r="AZ17" i="3"/>
  <c r="AZ5" i="3"/>
  <c r="AN131" i="3"/>
  <c r="AZ78" i="3"/>
  <c r="AZ24" i="3"/>
  <c r="AZ12" i="3"/>
  <c r="AT47" i="3"/>
  <c r="AH70" i="3"/>
  <c r="AN106" i="3"/>
  <c r="AN10" i="3"/>
  <c r="AP131" i="3"/>
  <c r="AJ22" i="3"/>
  <c r="AP34" i="3"/>
  <c r="AH10" i="3"/>
  <c r="AR179" i="3"/>
  <c r="AR143" i="3"/>
  <c r="AR11" i="3"/>
  <c r="AZ44" i="3"/>
  <c r="AL71" i="3"/>
  <c r="AR46" i="3"/>
  <c r="AN22" i="3"/>
  <c r="AH58" i="3"/>
  <c r="AT143" i="3"/>
  <c r="AL155" i="3"/>
  <c r="AF179" i="3"/>
  <c r="AT59" i="3"/>
  <c r="AP59" i="3"/>
  <c r="AL34" i="3"/>
  <c r="AD11" i="3"/>
  <c r="AZ32" i="3"/>
  <c r="AN155" i="3"/>
  <c r="AJ46" i="3"/>
  <c r="U46" i="3"/>
  <c r="U8" i="3"/>
  <c r="AT11" i="3"/>
  <c r="AP35" i="3"/>
  <c r="AL35" i="3"/>
  <c r="AD59" i="3"/>
  <c r="AR83" i="3"/>
  <c r="W155" i="3"/>
  <c r="AT119" i="3"/>
  <c r="W119" i="3"/>
  <c r="U71" i="3"/>
  <c r="AL118" i="3"/>
  <c r="AT46" i="3"/>
  <c r="AR34" i="3"/>
  <c r="AN167" i="3"/>
  <c r="AL70" i="3"/>
  <c r="AH155" i="3"/>
  <c r="AB83" i="3"/>
  <c r="AT179" i="3"/>
  <c r="AP143" i="3"/>
  <c r="W131" i="3"/>
  <c r="AT131" i="3"/>
  <c r="AR167" i="3"/>
  <c r="AP118" i="3"/>
  <c r="AN46" i="3"/>
  <c r="AJ155" i="3"/>
  <c r="AF131" i="3"/>
  <c r="W82" i="3"/>
  <c r="AR155" i="3"/>
  <c r="AP106" i="3"/>
  <c r="AJ106" i="3"/>
  <c r="AF34" i="3"/>
  <c r="AT106" i="3"/>
  <c r="AR94" i="3"/>
  <c r="AL167" i="3"/>
  <c r="AJ58" i="3"/>
  <c r="U10" i="3"/>
  <c r="AT95" i="3"/>
  <c r="AN83" i="3"/>
  <c r="AH23" i="3"/>
  <c r="AB59" i="3"/>
  <c r="AP23" i="3"/>
  <c r="AF11" i="3"/>
  <c r="AT23" i="3"/>
  <c r="AR23" i="3"/>
  <c r="AP11" i="3"/>
  <c r="U144" i="3"/>
  <c r="AZ33" i="3"/>
  <c r="AD132" i="3"/>
  <c r="AB35" i="3"/>
  <c r="AL83" i="3"/>
  <c r="AZ66" i="3"/>
  <c r="AT168" i="3"/>
  <c r="AJ132" i="3"/>
  <c r="AR144" i="3"/>
  <c r="AP119" i="3"/>
  <c r="W71" i="3"/>
  <c r="AR132" i="3"/>
  <c r="W35" i="3"/>
  <c r="AP107" i="3"/>
  <c r="AP168" i="3"/>
  <c r="AH107" i="3"/>
  <c r="U6" i="3"/>
  <c r="AT70" i="3"/>
  <c r="AR22" i="3"/>
  <c r="AP70" i="3"/>
  <c r="AN118" i="3"/>
  <c r="AL131" i="3"/>
  <c r="AL10" i="3"/>
  <c r="AH167" i="3"/>
  <c r="AF94" i="3"/>
  <c r="AB118" i="3"/>
  <c r="W46" i="3"/>
  <c r="AT58" i="3"/>
  <c r="AP58" i="3"/>
  <c r="AN94" i="3"/>
  <c r="AL106" i="3"/>
  <c r="AJ143" i="3"/>
  <c r="AH118" i="3"/>
  <c r="AB82" i="3"/>
  <c r="W22" i="3"/>
  <c r="AT167" i="3"/>
  <c r="AR118" i="3"/>
  <c r="AP46" i="3"/>
  <c r="AL94" i="3"/>
  <c r="AD155" i="3"/>
  <c r="W10" i="3"/>
  <c r="AT155" i="3"/>
  <c r="AR106" i="3"/>
  <c r="AP155" i="3"/>
  <c r="AN70" i="3"/>
  <c r="AJ118" i="3"/>
  <c r="AH106" i="3"/>
  <c r="AD143" i="3"/>
  <c r="AR82" i="3"/>
  <c r="AN34" i="3"/>
  <c r="AL58" i="3"/>
  <c r="AJ82" i="3"/>
  <c r="AH46" i="3"/>
  <c r="AD70" i="3"/>
  <c r="W144" i="3"/>
  <c r="U34" i="3"/>
  <c r="U15" i="3"/>
  <c r="AT156" i="3"/>
  <c r="AR119" i="3"/>
  <c r="AF71" i="3"/>
  <c r="AH35" i="3"/>
  <c r="AR47" i="3"/>
  <c r="AN23" i="3"/>
  <c r="W23" i="3"/>
  <c r="AR107" i="3"/>
  <c r="AL119" i="3"/>
  <c r="AJ11" i="3"/>
  <c r="AD23" i="3"/>
  <c r="U9" i="3"/>
  <c r="AT71" i="3"/>
  <c r="AR71" i="3"/>
  <c r="AH168" i="3"/>
  <c r="U107" i="3"/>
  <c r="AT35" i="3"/>
  <c r="AP71" i="3"/>
  <c r="AN132" i="3"/>
  <c r="AN11" i="3"/>
  <c r="AH95" i="3"/>
  <c r="AF23" i="3"/>
  <c r="U13" i="3"/>
  <c r="U7" i="3"/>
  <c r="AL168" i="3"/>
  <c r="W107" i="3"/>
  <c r="U43" i="3"/>
  <c r="U12" i="3"/>
  <c r="AL107" i="3"/>
  <c r="AJ156" i="3"/>
  <c r="AD95" i="3"/>
  <c r="U11" i="3"/>
  <c r="AR168" i="3"/>
  <c r="AP144" i="3"/>
  <c r="AD71" i="3"/>
  <c r="U5" i="3"/>
  <c r="AF144" i="3"/>
  <c r="AT83" i="3"/>
  <c r="AR95" i="3"/>
  <c r="AP95" i="3"/>
  <c r="AN180" i="3"/>
  <c r="AN35" i="3"/>
  <c r="AL11" i="3"/>
  <c r="AB168" i="3"/>
  <c r="AT132" i="3"/>
  <c r="AR59" i="3"/>
  <c r="AP132" i="3"/>
  <c r="AL180" i="3"/>
  <c r="AT144" i="3"/>
  <c r="AP180" i="3"/>
  <c r="AP90" i="3"/>
  <c r="AN59" i="3"/>
  <c r="AL156" i="3"/>
  <c r="AL47" i="3"/>
  <c r="AJ107" i="3"/>
  <c r="AF168" i="3"/>
  <c r="AD107" i="3"/>
  <c r="AB156" i="3"/>
  <c r="AF48" i="3"/>
  <c r="AT180" i="3"/>
  <c r="AT107" i="3"/>
  <c r="AR35" i="3"/>
  <c r="AP47" i="3"/>
  <c r="AN119" i="3"/>
  <c r="AJ35" i="3"/>
  <c r="AD47" i="3"/>
  <c r="AR60" i="3"/>
  <c r="AF132" i="3"/>
  <c r="AB144" i="3"/>
  <c r="AR108" i="3"/>
  <c r="AT55" i="3"/>
  <c r="AR156" i="3"/>
  <c r="AN95" i="3"/>
  <c r="AL95" i="3"/>
  <c r="AH71" i="3"/>
  <c r="AF107" i="3"/>
  <c r="AT24" i="3"/>
  <c r="AN144" i="3"/>
  <c r="AL132" i="3"/>
  <c r="AL48" i="3"/>
  <c r="AB23" i="3"/>
  <c r="AR181" i="3"/>
  <c r="AN168" i="3"/>
  <c r="AB95" i="3"/>
  <c r="AP140" i="3"/>
  <c r="AP67" i="3"/>
  <c r="AR13" i="3"/>
  <c r="AH119" i="3"/>
  <c r="AR7" i="3"/>
  <c r="AT73" i="3"/>
  <c r="AJ43" i="3"/>
  <c r="AT87" i="3"/>
  <c r="AR72" i="3"/>
  <c r="AT33" i="3"/>
  <c r="AP43" i="3"/>
  <c r="AN42" i="3"/>
  <c r="AH177" i="3"/>
  <c r="AR103" i="3"/>
  <c r="AN19" i="3"/>
  <c r="AR160" i="3"/>
  <c r="AP7" i="3"/>
  <c r="AR91" i="3"/>
  <c r="AL79" i="3"/>
  <c r="AT15" i="3"/>
  <c r="AR133" i="3"/>
  <c r="AP136" i="3"/>
  <c r="AP72" i="3"/>
  <c r="AL128" i="3"/>
  <c r="AT178" i="3"/>
  <c r="AT169" i="3"/>
  <c r="AR3" i="3"/>
  <c r="AP108" i="3"/>
  <c r="AL97" i="3"/>
  <c r="W15" i="3"/>
  <c r="AR57" i="3"/>
  <c r="AT27" i="3"/>
  <c r="AP39" i="3"/>
  <c r="AP87" i="3"/>
  <c r="AT84" i="3"/>
  <c r="AR178" i="3"/>
  <c r="AP24" i="3"/>
  <c r="AL72" i="3"/>
  <c r="AJ180" i="3"/>
  <c r="AJ67" i="3"/>
  <c r="AD170" i="3"/>
  <c r="U17" i="3"/>
  <c r="AJ176" i="3"/>
  <c r="W176" i="3"/>
  <c r="AT128" i="3"/>
  <c r="AR99" i="3"/>
  <c r="AP51" i="3"/>
  <c r="AJ140" i="3"/>
  <c r="AT63" i="3"/>
  <c r="AT19" i="3"/>
  <c r="AR145" i="3"/>
  <c r="AP160" i="3"/>
  <c r="AN73" i="3"/>
  <c r="AB119" i="3"/>
  <c r="U132" i="3"/>
  <c r="AP100" i="3"/>
  <c r="AL112" i="3"/>
  <c r="AP142" i="3"/>
  <c r="AN179" i="3"/>
  <c r="AN109" i="3"/>
  <c r="AL179" i="3"/>
  <c r="AJ167" i="3"/>
  <c r="AJ70" i="3"/>
  <c r="AH179" i="3"/>
  <c r="AF10" i="3"/>
  <c r="AB104" i="3"/>
  <c r="W167" i="3"/>
  <c r="U18" i="3"/>
  <c r="AT151" i="3"/>
  <c r="AJ66" i="3"/>
  <c r="AT102" i="3"/>
  <c r="AT6" i="3"/>
  <c r="AR42" i="3"/>
  <c r="AN28" i="3"/>
  <c r="AR90" i="3"/>
  <c r="AP179" i="3"/>
  <c r="AN143" i="3"/>
  <c r="AN82" i="3"/>
  <c r="AL143" i="3"/>
  <c r="AL30" i="3"/>
  <c r="AH137" i="3"/>
  <c r="AH34" i="3"/>
  <c r="AF61" i="3"/>
  <c r="AD118" i="3"/>
  <c r="AB58" i="3"/>
  <c r="U134" i="3"/>
  <c r="AT142" i="3"/>
  <c r="AN76" i="3"/>
  <c r="AL82" i="3"/>
  <c r="AL25" i="3"/>
  <c r="AJ131" i="3"/>
  <c r="AH131" i="3"/>
  <c r="AB167" i="3"/>
  <c r="AB46" i="3"/>
  <c r="AR30" i="3"/>
  <c r="W88" i="3"/>
  <c r="AZ48" i="3"/>
  <c r="AR173" i="3"/>
  <c r="AP64" i="3"/>
  <c r="AN125" i="3"/>
  <c r="AJ28" i="3"/>
  <c r="AT149" i="3"/>
  <c r="AP151" i="3"/>
  <c r="AN122" i="3"/>
  <c r="AN66" i="3"/>
  <c r="AJ25" i="3"/>
  <c r="AB143" i="3"/>
  <c r="AT127" i="3"/>
  <c r="AR16" i="3"/>
  <c r="AP105" i="3"/>
  <c r="AN6" i="3"/>
  <c r="AF161" i="3"/>
  <c r="AF16" i="3"/>
  <c r="AB4" i="3"/>
  <c r="AT176" i="3"/>
  <c r="AT117" i="3"/>
  <c r="AT52" i="3"/>
  <c r="AR170" i="3"/>
  <c r="AR142" i="3"/>
  <c r="AR79" i="3"/>
  <c r="AR40" i="3"/>
  <c r="AP157" i="3"/>
  <c r="AP61" i="3"/>
  <c r="AP33" i="3"/>
  <c r="AN173" i="3"/>
  <c r="AN72" i="3"/>
  <c r="AL161" i="3"/>
  <c r="AL67" i="3"/>
  <c r="AJ149" i="3"/>
  <c r="AJ76" i="3"/>
  <c r="AF158" i="3"/>
  <c r="AF85" i="3"/>
  <c r="AD4" i="3"/>
  <c r="AB76" i="3"/>
  <c r="W173" i="3"/>
  <c r="AH64" i="3"/>
  <c r="AF88" i="3"/>
  <c r="U16" i="3"/>
  <c r="AT173" i="3"/>
  <c r="AT115" i="3"/>
  <c r="AT76" i="3"/>
  <c r="AR137" i="3"/>
  <c r="AR104" i="3"/>
  <c r="AR76" i="3"/>
  <c r="AP128" i="3"/>
  <c r="AP93" i="3"/>
  <c r="AP28" i="3"/>
  <c r="AL64" i="3"/>
  <c r="AL19" i="3"/>
  <c r="AJ13" i="3"/>
  <c r="AF149" i="3"/>
  <c r="AF4" i="3"/>
  <c r="AD92" i="3"/>
  <c r="U91" i="3"/>
  <c r="AT112" i="3"/>
  <c r="AT137" i="3"/>
  <c r="AT45" i="3"/>
  <c r="AR166" i="3"/>
  <c r="AR100" i="3"/>
  <c r="AR31" i="3"/>
  <c r="AR4" i="3"/>
  <c r="AP149" i="3"/>
  <c r="AP52" i="3"/>
  <c r="AL13" i="3"/>
  <c r="AJ4" i="3"/>
  <c r="AH112" i="3"/>
  <c r="AH37" i="3"/>
  <c r="AD161" i="3"/>
  <c r="AB52" i="3"/>
  <c r="W25" i="3"/>
  <c r="U64" i="3"/>
  <c r="AH40" i="3"/>
  <c r="AT134" i="3"/>
  <c r="AT40" i="3"/>
  <c r="AR161" i="3"/>
  <c r="AR130" i="3"/>
  <c r="AP145" i="3"/>
  <c r="AP117" i="3"/>
  <c r="AP19" i="3"/>
  <c r="AN152" i="3"/>
  <c r="AN100" i="3"/>
  <c r="AL137" i="3"/>
  <c r="AH182" i="3"/>
  <c r="AF52" i="3"/>
  <c r="W149" i="3"/>
  <c r="U52" i="3"/>
  <c r="AL16" i="3"/>
  <c r="W161" i="3"/>
  <c r="AT166" i="3"/>
  <c r="AT105" i="3"/>
  <c r="AT67" i="3"/>
  <c r="AT37" i="3"/>
  <c r="AT7" i="3"/>
  <c r="AR128" i="3"/>
  <c r="AR64" i="3"/>
  <c r="AR28" i="3"/>
  <c r="AP181" i="3"/>
  <c r="AP116" i="3"/>
  <c r="AP79" i="3"/>
  <c r="AP18" i="3"/>
  <c r="AN97" i="3"/>
  <c r="AN55" i="3"/>
  <c r="AN8" i="3"/>
  <c r="AL134" i="3"/>
  <c r="AL88" i="3"/>
  <c r="AJ125" i="3"/>
  <c r="AJ52" i="3"/>
  <c r="AF125" i="3"/>
  <c r="AF49" i="3"/>
  <c r="AD149" i="3"/>
  <c r="AB37" i="3"/>
  <c r="AT161" i="3"/>
  <c r="AT64" i="3"/>
  <c r="AR122" i="3"/>
  <c r="AR25" i="3"/>
  <c r="AP112" i="3"/>
  <c r="AP76" i="3"/>
  <c r="AL40" i="3"/>
  <c r="AH100" i="3"/>
  <c r="AH28" i="3"/>
  <c r="AF122" i="3"/>
  <c r="AD40" i="3"/>
  <c r="W16" i="3"/>
  <c r="AT4" i="3"/>
  <c r="AN134" i="3"/>
  <c r="AN4" i="3"/>
  <c r="AL37" i="3"/>
  <c r="AF112" i="3"/>
  <c r="AF40" i="3"/>
  <c r="AD137" i="3"/>
  <c r="AD28" i="3"/>
  <c r="AT61" i="3"/>
  <c r="AP173" i="3"/>
  <c r="AP40" i="3"/>
  <c r="AN37" i="3"/>
  <c r="AH73" i="3"/>
  <c r="U25" i="3"/>
  <c r="AR149" i="3"/>
  <c r="AT152" i="3"/>
  <c r="AT125" i="3"/>
  <c r="AT85" i="3"/>
  <c r="AT28" i="3"/>
  <c r="AR112" i="3"/>
  <c r="AR88" i="3"/>
  <c r="AR21" i="3"/>
  <c r="AP170" i="3"/>
  <c r="AP4" i="3"/>
  <c r="AJ100" i="3"/>
  <c r="AH161" i="3"/>
  <c r="AF103" i="3"/>
  <c r="AB16" i="3"/>
  <c r="AT158" i="3"/>
  <c r="AT133" i="3"/>
  <c r="AT109" i="3"/>
  <c r="AT78" i="3"/>
  <c r="AT57" i="3"/>
  <c r="AR180" i="3"/>
  <c r="AR152" i="3"/>
  <c r="AR121" i="3"/>
  <c r="AR67" i="3"/>
  <c r="AR9" i="3"/>
  <c r="AP156" i="3"/>
  <c r="AP97" i="3"/>
  <c r="AN107" i="3"/>
  <c r="AN71" i="3"/>
  <c r="AN31" i="3"/>
  <c r="AL175" i="3"/>
  <c r="AJ6" i="3"/>
  <c r="AH61" i="3"/>
  <c r="AF163" i="3"/>
  <c r="AF95" i="3"/>
  <c r="AD140" i="3"/>
  <c r="AD43" i="3"/>
  <c r="W158" i="3"/>
  <c r="W59" i="3"/>
  <c r="U115" i="3"/>
  <c r="AN139" i="3"/>
  <c r="AN133" i="3"/>
  <c r="AT175" i="3"/>
  <c r="AR54" i="3"/>
  <c r="AP84" i="3"/>
  <c r="AF7" i="3"/>
  <c r="AT148" i="3"/>
  <c r="AT124" i="3"/>
  <c r="AT93" i="3"/>
  <c r="AT66" i="3"/>
  <c r="AT43" i="3"/>
  <c r="AR81" i="3"/>
  <c r="AR49" i="3"/>
  <c r="AP83" i="3"/>
  <c r="AP57" i="3"/>
  <c r="AP25" i="3"/>
  <c r="AN169" i="3"/>
  <c r="AN127" i="3"/>
  <c r="AN84" i="3"/>
  <c r="AN47" i="3"/>
  <c r="AL144" i="3"/>
  <c r="AL66" i="3"/>
  <c r="AL23" i="3"/>
  <c r="AJ83" i="3"/>
  <c r="AJ30" i="3"/>
  <c r="AH83" i="3"/>
  <c r="AF59" i="3"/>
  <c r="AB11" i="3"/>
  <c r="W109" i="3"/>
  <c r="AH78" i="3"/>
  <c r="AB78" i="3"/>
  <c r="AL139" i="3"/>
  <c r="AT130" i="3"/>
  <c r="AT108" i="3"/>
  <c r="AT39" i="3"/>
  <c r="AT18" i="3"/>
  <c r="AR172" i="3"/>
  <c r="AR146" i="3"/>
  <c r="AR127" i="3"/>
  <c r="AR73" i="3"/>
  <c r="AR48" i="3"/>
  <c r="AR27" i="3"/>
  <c r="AP158" i="3"/>
  <c r="AP109" i="3"/>
  <c r="AP85" i="3"/>
  <c r="AP63" i="3"/>
  <c r="AP13" i="3"/>
  <c r="AN60" i="3"/>
  <c r="AN30" i="3"/>
  <c r="AL109" i="3"/>
  <c r="AL36" i="3"/>
  <c r="AJ31" i="3"/>
  <c r="AH114" i="3"/>
  <c r="AH69" i="3"/>
  <c r="AH25" i="3"/>
  <c r="AF51" i="3"/>
  <c r="AD24" i="3"/>
  <c r="AB140" i="3"/>
  <c r="AB55" i="3"/>
  <c r="U75" i="3"/>
  <c r="AP182" i="3"/>
  <c r="AL176" i="3"/>
  <c r="AJ122" i="3"/>
  <c r="AH63" i="3"/>
  <c r="AH13" i="3"/>
  <c r="AF140" i="3"/>
  <c r="W13" i="3"/>
  <c r="U67" i="3"/>
  <c r="AN146" i="3"/>
  <c r="AL170" i="3"/>
  <c r="AJ158" i="3"/>
  <c r="AH164" i="3"/>
  <c r="AH9" i="3"/>
  <c r="AF79" i="3"/>
  <c r="AD91" i="3"/>
  <c r="U170" i="3"/>
  <c r="U61" i="3"/>
  <c r="AT140" i="3"/>
  <c r="AT122" i="3"/>
  <c r="AT97" i="3"/>
  <c r="AT49" i="3"/>
  <c r="AT31" i="3"/>
  <c r="AR163" i="3"/>
  <c r="AR140" i="3"/>
  <c r="AR37" i="3"/>
  <c r="AR19" i="3"/>
  <c r="AP127" i="3"/>
  <c r="AP102" i="3"/>
  <c r="AP55" i="3"/>
  <c r="AP31" i="3"/>
  <c r="AN182" i="3"/>
  <c r="AN145" i="3"/>
  <c r="AN80" i="3"/>
  <c r="AN18" i="3"/>
  <c r="AL55" i="3"/>
  <c r="AJ60" i="3"/>
  <c r="AJ19" i="3"/>
  <c r="AH97" i="3"/>
  <c r="AH3" i="3"/>
  <c r="AF129" i="3"/>
  <c r="AF33" i="3"/>
  <c r="AD146" i="3"/>
  <c r="AB91" i="3"/>
  <c r="W152" i="3"/>
  <c r="U164" i="3"/>
  <c r="AT182" i="3"/>
  <c r="AT160" i="3"/>
  <c r="AT139" i="3"/>
  <c r="AT96" i="3"/>
  <c r="AT48" i="3"/>
  <c r="AT30" i="3"/>
  <c r="AR139" i="3"/>
  <c r="AR109" i="3"/>
  <c r="AR61" i="3"/>
  <c r="AR36" i="3"/>
  <c r="AP176" i="3"/>
  <c r="AP146" i="3"/>
  <c r="AP124" i="3"/>
  <c r="AP73" i="3"/>
  <c r="AP54" i="3"/>
  <c r="AN181" i="3"/>
  <c r="AN115" i="3"/>
  <c r="AN43" i="3"/>
  <c r="AN13" i="3"/>
  <c r="AL129" i="3"/>
  <c r="AL49" i="3"/>
  <c r="AJ103" i="3"/>
  <c r="AJ18" i="3"/>
  <c r="AF182" i="3"/>
  <c r="AF66" i="3"/>
  <c r="AF31" i="3"/>
  <c r="AB182" i="3"/>
  <c r="W55" i="3"/>
  <c r="AL158" i="3"/>
  <c r="AL122" i="3"/>
  <c r="AJ97" i="3"/>
  <c r="AH134" i="3"/>
  <c r="AF115" i="3"/>
  <c r="AB13" i="3"/>
  <c r="W134" i="3"/>
  <c r="AP164" i="3"/>
  <c r="AN170" i="3"/>
  <c r="AJ134" i="3"/>
  <c r="AJ85" i="3"/>
  <c r="AH33" i="3"/>
  <c r="AF57" i="3"/>
  <c r="AD122" i="3"/>
  <c r="AZ68" i="3"/>
  <c r="AT170" i="3"/>
  <c r="AT154" i="3"/>
  <c r="AT121" i="3"/>
  <c r="AT103" i="3"/>
  <c r="AT79" i="3"/>
  <c r="AT60" i="3"/>
  <c r="AT44" i="3"/>
  <c r="AT25" i="3"/>
  <c r="AR182" i="3"/>
  <c r="AR164" i="3"/>
  <c r="AR124" i="3"/>
  <c r="AR105" i="3"/>
  <c r="AR85" i="3"/>
  <c r="AR66" i="3"/>
  <c r="AR43" i="3"/>
  <c r="AR24" i="3"/>
  <c r="AP163" i="3"/>
  <c r="AP122" i="3"/>
  <c r="AP103" i="3"/>
  <c r="AP37" i="3"/>
  <c r="AP15" i="3"/>
  <c r="AN176" i="3"/>
  <c r="AN91" i="3"/>
  <c r="AN61" i="3"/>
  <c r="AN36" i="3"/>
  <c r="AN12" i="3"/>
  <c r="AL103" i="3"/>
  <c r="AL43" i="3"/>
  <c r="AL18" i="3"/>
  <c r="AJ170" i="3"/>
  <c r="AJ24" i="3"/>
  <c r="AH176" i="3"/>
  <c r="AH128" i="3"/>
  <c r="AH85" i="3"/>
  <c r="AH55" i="3"/>
  <c r="AF152" i="3"/>
  <c r="AF114" i="3"/>
  <c r="AF73" i="3"/>
  <c r="AD89" i="3"/>
  <c r="AD37" i="3"/>
  <c r="AB180" i="3"/>
  <c r="AB138" i="3"/>
  <c r="AB85" i="3"/>
  <c r="AB7" i="3"/>
  <c r="W103" i="3"/>
  <c r="U109" i="3"/>
  <c r="U55" i="3"/>
  <c r="AL102" i="3"/>
  <c r="AJ128" i="3"/>
  <c r="AJ91" i="3"/>
  <c r="AJ55" i="3"/>
  <c r="AH122" i="3"/>
  <c r="AH49" i="3"/>
  <c r="AF72" i="3"/>
  <c r="AF37" i="3"/>
  <c r="AD182" i="3"/>
  <c r="AD79" i="3"/>
  <c r="AB176" i="3"/>
  <c r="AB128" i="3"/>
  <c r="W146" i="3"/>
  <c r="W97" i="3"/>
  <c r="W43" i="3"/>
  <c r="W7" i="3"/>
  <c r="AR162" i="3"/>
  <c r="AJ163" i="3"/>
  <c r="AH79" i="3"/>
  <c r="AF146" i="3"/>
  <c r="AF109" i="3"/>
  <c r="AD176" i="3"/>
  <c r="AD128" i="3"/>
  <c r="AD73" i="3"/>
  <c r="AD25" i="3"/>
  <c r="AB170" i="3"/>
  <c r="AB122" i="3"/>
  <c r="AB43" i="3"/>
  <c r="W182" i="3"/>
  <c r="W91" i="3"/>
  <c r="W37" i="3"/>
  <c r="U176" i="3"/>
  <c r="U103" i="3"/>
  <c r="U49" i="3"/>
  <c r="U101" i="3"/>
  <c r="AT181" i="3"/>
  <c r="AT164" i="3"/>
  <c r="AT146" i="3"/>
  <c r="AT54" i="3"/>
  <c r="AR176" i="3"/>
  <c r="AR158" i="3"/>
  <c r="AR115" i="3"/>
  <c r="AR97" i="3"/>
  <c r="AR77" i="3"/>
  <c r="AP134" i="3"/>
  <c r="AP115" i="3"/>
  <c r="AP6" i="3"/>
  <c r="AN103" i="3"/>
  <c r="AN79" i="3"/>
  <c r="AN49" i="3"/>
  <c r="AL91" i="3"/>
  <c r="AL61" i="3"/>
  <c r="AL7" i="3"/>
  <c r="AJ115" i="3"/>
  <c r="AJ79" i="3"/>
  <c r="AJ37" i="3"/>
  <c r="AH157" i="3"/>
  <c r="AF172" i="3"/>
  <c r="AF138" i="3"/>
  <c r="AF97" i="3"/>
  <c r="AF25" i="3"/>
  <c r="AD158" i="3"/>
  <c r="AD114" i="3"/>
  <c r="AD61" i="3"/>
  <c r="AB164" i="3"/>
  <c r="AB109" i="3"/>
  <c r="AB73" i="3"/>
  <c r="W170" i="3"/>
  <c r="W128" i="3"/>
  <c r="W79" i="3"/>
  <c r="U158" i="3"/>
  <c r="U85" i="3"/>
  <c r="AZ181" i="3"/>
  <c r="AZ108" i="3"/>
  <c r="AT163" i="3"/>
  <c r="AT145" i="3"/>
  <c r="AT129" i="3"/>
  <c r="AT111" i="3"/>
  <c r="AT91" i="3"/>
  <c r="AT69" i="3"/>
  <c r="AT13" i="3"/>
  <c r="AR134" i="3"/>
  <c r="AR114" i="3"/>
  <c r="AR96" i="3"/>
  <c r="AR55" i="3"/>
  <c r="AR15" i="3"/>
  <c r="AP178" i="3"/>
  <c r="AP152" i="3"/>
  <c r="AP91" i="3"/>
  <c r="AP49" i="3"/>
  <c r="AP27" i="3"/>
  <c r="AP5" i="3"/>
  <c r="AN163" i="3"/>
  <c r="AN102" i="3"/>
  <c r="AN48" i="3"/>
  <c r="AN24" i="3"/>
  <c r="AL182" i="3"/>
  <c r="AL146" i="3"/>
  <c r="AL31" i="3"/>
  <c r="AL6" i="3"/>
  <c r="AJ109" i="3"/>
  <c r="AJ7" i="3"/>
  <c r="AH109" i="3"/>
  <c r="AF170" i="3"/>
  <c r="AD19" i="3"/>
  <c r="AB158" i="3"/>
  <c r="AB71" i="3"/>
  <c r="AB31" i="3"/>
  <c r="W124" i="3"/>
  <c r="W73" i="3"/>
  <c r="U152" i="3"/>
  <c r="U79" i="3"/>
  <c r="U35" i="3"/>
  <c r="W53" i="3"/>
  <c r="AN158" i="3"/>
  <c r="AN128" i="3"/>
  <c r="AN101" i="3"/>
  <c r="AL115" i="3"/>
  <c r="AL84" i="3"/>
  <c r="AJ182" i="3"/>
  <c r="AJ146" i="3"/>
  <c r="AJ72" i="3"/>
  <c r="AH152" i="3"/>
  <c r="AF19" i="3"/>
  <c r="AD152" i="3"/>
  <c r="AD55" i="3"/>
  <c r="AD13" i="3"/>
  <c r="AB67" i="3"/>
  <c r="AB25" i="3"/>
  <c r="W164" i="3"/>
  <c r="W19" i="3"/>
  <c r="AJ181" i="3"/>
  <c r="AH140" i="3"/>
  <c r="AF164" i="3"/>
  <c r="AF91" i="3"/>
  <c r="AD53" i="3"/>
  <c r="AB146" i="3"/>
  <c r="AB103" i="3"/>
  <c r="AB60" i="3"/>
  <c r="W115" i="3"/>
  <c r="W61" i="3"/>
  <c r="W17" i="3"/>
  <c r="U140" i="3"/>
  <c r="U31" i="3"/>
  <c r="AB101" i="3"/>
  <c r="AT150" i="3"/>
  <c r="AT136" i="3"/>
  <c r="AT90" i="3"/>
  <c r="AT72" i="3"/>
  <c r="AT29" i="3"/>
  <c r="AT12" i="3"/>
  <c r="AR126" i="3"/>
  <c r="AR93" i="3"/>
  <c r="AR41" i="3"/>
  <c r="AP175" i="3"/>
  <c r="AP69" i="3"/>
  <c r="AP53" i="3"/>
  <c r="AP36" i="3"/>
  <c r="AP21" i="3"/>
  <c r="AN164" i="3"/>
  <c r="AN140" i="3"/>
  <c r="AN121" i="3"/>
  <c r="AN77" i="3"/>
  <c r="AN17" i="3"/>
  <c r="AL152" i="3"/>
  <c r="AL85" i="3"/>
  <c r="AL65" i="3"/>
  <c r="AL41" i="3"/>
  <c r="AJ152" i="3"/>
  <c r="AJ127" i="3"/>
  <c r="AJ102" i="3"/>
  <c r="AJ73" i="3"/>
  <c r="AJ49" i="3"/>
  <c r="AH103" i="3"/>
  <c r="AH77" i="3"/>
  <c r="AH54" i="3"/>
  <c r="AH31" i="3"/>
  <c r="AH7" i="3"/>
  <c r="AF162" i="3"/>
  <c r="AF134" i="3"/>
  <c r="AF84" i="3"/>
  <c r="AF27" i="3"/>
  <c r="AD178" i="3"/>
  <c r="AD115" i="3"/>
  <c r="AD85" i="3"/>
  <c r="AD49" i="3"/>
  <c r="AB134" i="3"/>
  <c r="AB97" i="3"/>
  <c r="AB61" i="3"/>
  <c r="AB6" i="3"/>
  <c r="W122" i="3"/>
  <c r="W85" i="3"/>
  <c r="W49" i="3"/>
  <c r="U146" i="3"/>
  <c r="U97" i="3"/>
  <c r="AT89" i="3"/>
  <c r="AR174" i="3"/>
  <c r="AP174" i="3"/>
  <c r="AL150" i="3"/>
  <c r="AJ150" i="3"/>
  <c r="AJ126" i="3"/>
  <c r="AH101" i="3"/>
  <c r="AH53" i="3"/>
  <c r="AH29" i="3"/>
  <c r="AH5" i="3"/>
  <c r="AT162" i="3"/>
  <c r="AT41" i="3"/>
  <c r="AP101" i="3"/>
  <c r="AP65" i="3"/>
  <c r="AN162" i="3"/>
  <c r="AN138" i="3"/>
  <c r="AN53" i="3"/>
  <c r="AJ174" i="3"/>
  <c r="AF77" i="3"/>
  <c r="AD175" i="3"/>
  <c r="AD113" i="3"/>
  <c r="AD78" i="3"/>
  <c r="AB160" i="3"/>
  <c r="AB126" i="3"/>
  <c r="AB29" i="3"/>
  <c r="W150" i="3"/>
  <c r="AR89" i="3"/>
  <c r="AR5" i="3"/>
  <c r="AP17" i="3"/>
  <c r="AL145" i="3"/>
  <c r="AL126" i="3"/>
  <c r="AL101" i="3"/>
  <c r="AJ41" i="3"/>
  <c r="AJ17" i="3"/>
  <c r="AH175" i="3"/>
  <c r="AH48" i="3"/>
  <c r="AH27" i="3"/>
  <c r="AF154" i="3"/>
  <c r="AF130" i="3"/>
  <c r="AD174" i="3"/>
  <c r="AB27" i="3"/>
  <c r="W181" i="3"/>
  <c r="W114" i="3"/>
  <c r="W77" i="3"/>
  <c r="W39" i="3"/>
  <c r="AT174" i="3"/>
  <c r="AR138" i="3"/>
  <c r="AR53" i="3"/>
  <c r="AN113" i="3"/>
  <c r="AN29" i="3"/>
  <c r="AH174" i="3"/>
  <c r="AH150" i="3"/>
  <c r="AD138" i="3"/>
  <c r="AT53" i="3"/>
  <c r="AP150" i="3"/>
  <c r="AT101" i="3"/>
  <c r="AT5" i="3"/>
  <c r="AR169" i="3"/>
  <c r="AR101" i="3"/>
  <c r="AR87" i="3"/>
  <c r="AR69" i="3"/>
  <c r="AR51" i="3"/>
  <c r="AP113" i="3"/>
  <c r="AP96" i="3"/>
  <c r="AP78" i="3"/>
  <c r="AN89" i="3"/>
  <c r="AL121" i="3"/>
  <c r="AL96" i="3"/>
  <c r="AL77" i="3"/>
  <c r="AL54" i="3"/>
  <c r="AJ65" i="3"/>
  <c r="AJ12" i="3"/>
  <c r="AH67" i="3"/>
  <c r="AH43" i="3"/>
  <c r="AF150" i="3"/>
  <c r="AF128" i="3"/>
  <c r="AF96" i="3"/>
  <c r="AD164" i="3"/>
  <c r="AD32" i="3"/>
  <c r="AD7" i="3"/>
  <c r="W5" i="3"/>
  <c r="U73" i="3"/>
  <c r="AT172" i="3"/>
  <c r="AT157" i="3"/>
  <c r="AT114" i="3"/>
  <c r="AT99" i="3"/>
  <c r="AT65" i="3"/>
  <c r="AT51" i="3"/>
  <c r="AT36" i="3"/>
  <c r="AT21" i="3"/>
  <c r="AR33" i="3"/>
  <c r="AR18" i="3"/>
  <c r="AP165" i="3"/>
  <c r="AP130" i="3"/>
  <c r="AP77" i="3"/>
  <c r="AP60" i="3"/>
  <c r="AP45" i="3"/>
  <c r="AP29" i="3"/>
  <c r="AP12" i="3"/>
  <c r="AN174" i="3"/>
  <c r="AN151" i="3"/>
  <c r="AN67" i="3"/>
  <c r="AL164" i="3"/>
  <c r="AL140" i="3"/>
  <c r="AL53" i="3"/>
  <c r="AL32" i="3"/>
  <c r="AJ139" i="3"/>
  <c r="AJ114" i="3"/>
  <c r="AJ84" i="3"/>
  <c r="AH169" i="3"/>
  <c r="AH145" i="3"/>
  <c r="AH115" i="3"/>
  <c r="AH89" i="3"/>
  <c r="AH65" i="3"/>
  <c r="AH41" i="3"/>
  <c r="AH19" i="3"/>
  <c r="AF174" i="3"/>
  <c r="AF126" i="3"/>
  <c r="AF67" i="3"/>
  <c r="AF41" i="3"/>
  <c r="AD162" i="3"/>
  <c r="AD67" i="3"/>
  <c r="AD31" i="3"/>
  <c r="AB150" i="3"/>
  <c r="AB19" i="3"/>
  <c r="W172" i="3"/>
  <c r="AT113" i="3"/>
  <c r="AR150" i="3"/>
  <c r="AR17" i="3"/>
  <c r="AN150" i="3"/>
  <c r="AL162" i="3"/>
  <c r="AJ138" i="3"/>
  <c r="AJ113" i="3"/>
  <c r="AH17" i="3"/>
  <c r="AD65" i="3"/>
  <c r="AD29" i="3"/>
  <c r="AB17" i="3"/>
  <c r="W138" i="3"/>
  <c r="W65" i="3"/>
  <c r="AR113" i="3"/>
  <c r="AR65" i="3"/>
  <c r="AP41" i="3"/>
  <c r="AN65" i="3"/>
  <c r="AN5" i="3"/>
  <c r="AL138" i="3"/>
  <c r="AH139" i="3"/>
  <c r="AF124" i="3"/>
  <c r="AD160" i="3"/>
  <c r="U29" i="3"/>
  <c r="AT126" i="3"/>
  <c r="AT77" i="3"/>
  <c r="AT17" i="3"/>
  <c r="AR29" i="3"/>
  <c r="AP126" i="3"/>
  <c r="AN126" i="3"/>
  <c r="AN41" i="3"/>
  <c r="AL90" i="3"/>
  <c r="AL29" i="3"/>
  <c r="AL5" i="3"/>
  <c r="AJ5" i="3"/>
  <c r="AH138" i="3"/>
  <c r="AH12" i="3"/>
  <c r="AF89" i="3"/>
  <c r="AF5" i="3"/>
  <c r="AD126" i="3"/>
  <c r="AB41" i="3"/>
  <c r="U63" i="3"/>
  <c r="AT138" i="3"/>
  <c r="AP89" i="3"/>
  <c r="AL89" i="3"/>
  <c r="AJ77" i="3"/>
  <c r="AJ53" i="3"/>
  <c r="AH162" i="3"/>
  <c r="W89" i="3"/>
  <c r="AR8" i="3"/>
  <c r="AP141" i="3"/>
  <c r="AP92" i="3"/>
  <c r="AL80" i="3"/>
  <c r="AJ116" i="3"/>
  <c r="AH20" i="3"/>
  <c r="AB177" i="3"/>
  <c r="W68" i="3"/>
  <c r="W42" i="3"/>
  <c r="AT92" i="3"/>
  <c r="AP32" i="3"/>
  <c r="AN165" i="3"/>
  <c r="AN32" i="3"/>
  <c r="AL116" i="3"/>
  <c r="AL20" i="3"/>
  <c r="AJ92" i="3"/>
  <c r="AF178" i="3"/>
  <c r="AF116" i="3"/>
  <c r="AF92" i="3"/>
  <c r="AF69" i="3"/>
  <c r="AD104" i="3"/>
  <c r="W92" i="3"/>
  <c r="U168" i="3"/>
  <c r="AT20" i="3"/>
  <c r="AR141" i="3"/>
  <c r="AR80" i="3"/>
  <c r="AR20" i="3"/>
  <c r="AP153" i="3"/>
  <c r="AN68" i="3"/>
  <c r="AL177" i="3"/>
  <c r="AL56" i="3"/>
  <c r="AJ68" i="3"/>
  <c r="AH165" i="3"/>
  <c r="AH141" i="3"/>
  <c r="AH56" i="3"/>
  <c r="AF177" i="3"/>
  <c r="AF68" i="3"/>
  <c r="AD129" i="3"/>
  <c r="AD44" i="3"/>
  <c r="AD20" i="3"/>
  <c r="AB116" i="3"/>
  <c r="AZ88" i="3"/>
  <c r="AR32" i="3"/>
  <c r="AP104" i="3"/>
  <c r="AP44" i="3"/>
  <c r="AN141" i="3"/>
  <c r="AN104" i="3"/>
  <c r="AL153" i="3"/>
  <c r="AL92" i="3"/>
  <c r="AJ177" i="3"/>
  <c r="AJ44" i="3"/>
  <c r="AH116" i="3"/>
  <c r="AF153" i="3"/>
  <c r="AF44" i="3"/>
  <c r="AF20" i="3"/>
  <c r="AD177" i="3"/>
  <c r="AD153" i="3"/>
  <c r="AB32" i="3"/>
  <c r="AB8" i="3"/>
  <c r="W169" i="3"/>
  <c r="W116" i="3"/>
  <c r="AL120" i="3"/>
  <c r="AT104" i="3"/>
  <c r="AT32" i="3"/>
  <c r="AR92" i="3"/>
  <c r="AJ153" i="3"/>
  <c r="AJ20" i="3"/>
  <c r="AD68" i="3"/>
  <c r="AB141" i="3"/>
  <c r="AB80" i="3"/>
  <c r="AB56" i="3"/>
  <c r="W141" i="3"/>
  <c r="W32" i="3"/>
  <c r="AJ120" i="3"/>
  <c r="AT116" i="3"/>
  <c r="AR153" i="3"/>
  <c r="AR44" i="3"/>
  <c r="AP56" i="3"/>
  <c r="AN177" i="3"/>
  <c r="AN44" i="3"/>
  <c r="AJ129" i="3"/>
  <c r="AH92" i="3"/>
  <c r="AH32" i="3"/>
  <c r="AB165" i="3"/>
  <c r="W165" i="3"/>
  <c r="W56" i="3"/>
  <c r="W8" i="3"/>
  <c r="AF120" i="3"/>
  <c r="AZ72" i="3"/>
  <c r="AT141" i="3"/>
  <c r="AT56" i="3"/>
  <c r="AR165" i="3"/>
  <c r="AP68" i="3"/>
  <c r="AN153" i="3"/>
  <c r="AL104" i="3"/>
  <c r="AL68" i="3"/>
  <c r="AJ104" i="3"/>
  <c r="AJ80" i="3"/>
  <c r="AH68" i="3"/>
  <c r="AH8" i="3"/>
  <c r="AF104" i="3"/>
  <c r="AF80" i="3"/>
  <c r="AD116" i="3"/>
  <c r="AD8" i="3"/>
  <c r="W80" i="3"/>
  <c r="W24" i="3"/>
  <c r="W6" i="3"/>
  <c r="U59" i="3"/>
  <c r="AT153" i="3"/>
  <c r="AT68" i="3"/>
  <c r="AR116" i="3"/>
  <c r="AR56" i="3"/>
  <c r="AP8" i="3"/>
  <c r="AN116" i="3"/>
  <c r="AL165" i="3"/>
  <c r="AL8" i="3"/>
  <c r="AF165" i="3"/>
  <c r="AD165" i="3"/>
  <c r="AD141" i="3"/>
  <c r="AB129" i="3"/>
  <c r="AT165" i="3"/>
  <c r="AR177" i="3"/>
  <c r="AP129" i="3"/>
  <c r="AP80" i="3"/>
  <c r="AJ165" i="3"/>
  <c r="AJ56" i="3"/>
  <c r="AJ32" i="3"/>
  <c r="AH153" i="3"/>
  <c r="AH129" i="3"/>
  <c r="AH44" i="3"/>
  <c r="AF56" i="3"/>
  <c r="AF8" i="3"/>
  <c r="AD56" i="3"/>
  <c r="AB44" i="3"/>
  <c r="AB20" i="3"/>
  <c r="W177" i="3"/>
  <c r="W129" i="3"/>
  <c r="W104" i="3"/>
  <c r="AT177" i="3"/>
  <c r="AT80" i="3"/>
  <c r="AP177" i="3"/>
  <c r="AN56" i="3"/>
  <c r="AN20" i="3"/>
  <c r="AL141" i="3"/>
  <c r="AL44" i="3"/>
  <c r="AJ141" i="3"/>
  <c r="AF32" i="3"/>
  <c r="AD80" i="3"/>
  <c r="AB153" i="3"/>
  <c r="AB68" i="3"/>
  <c r="W153" i="3"/>
  <c r="W44" i="3"/>
  <c r="W20" i="3"/>
  <c r="AT8" i="3"/>
  <c r="AR129" i="3"/>
  <c r="AR68" i="3"/>
  <c r="AP20" i="3"/>
  <c r="AN129" i="3"/>
  <c r="AN92" i="3"/>
  <c r="AH104" i="3"/>
  <c r="AH80" i="3"/>
  <c r="AF141" i="3"/>
  <c r="AB92" i="3"/>
  <c r="W174" i="3"/>
  <c r="W126" i="3"/>
  <c r="W101" i="3"/>
  <c r="U174" i="3"/>
  <c r="U126" i="3"/>
  <c r="U77" i="3"/>
  <c r="U47" i="3"/>
  <c r="AZ125" i="3"/>
  <c r="AP138" i="3"/>
  <c r="AP125" i="3"/>
  <c r="AN149" i="3"/>
  <c r="AN114" i="3"/>
  <c r="AN96" i="3"/>
  <c r="AN78" i="3"/>
  <c r="AL174" i="3"/>
  <c r="AL113" i="3"/>
  <c r="AL78" i="3"/>
  <c r="AL59" i="3"/>
  <c r="AL42" i="3"/>
  <c r="AL24" i="3"/>
  <c r="AJ169" i="3"/>
  <c r="AJ151" i="3"/>
  <c r="AJ89" i="3"/>
  <c r="AJ29" i="3"/>
  <c r="AJ10" i="3"/>
  <c r="AH113" i="3"/>
  <c r="AH93" i="3"/>
  <c r="AH39" i="3"/>
  <c r="AH21" i="3"/>
  <c r="AH4" i="3"/>
  <c r="AF111" i="3"/>
  <c r="AF35" i="3"/>
  <c r="AF17" i="3"/>
  <c r="AD112" i="3"/>
  <c r="AD36" i="3"/>
  <c r="AD16" i="3"/>
  <c r="AB151" i="3"/>
  <c r="AB100" i="3"/>
  <c r="AB77" i="3"/>
  <c r="AB53" i="3"/>
  <c r="W168" i="3"/>
  <c r="W72" i="3"/>
  <c r="W47" i="3"/>
  <c r="W27" i="3"/>
  <c r="U162" i="3"/>
  <c r="U95" i="3"/>
  <c r="U65" i="3"/>
  <c r="U156" i="3"/>
  <c r="U89" i="3"/>
  <c r="AJ162" i="3"/>
  <c r="AH144" i="3"/>
  <c r="AF156" i="3"/>
  <c r="AF101" i="3"/>
  <c r="AF83" i="3"/>
  <c r="AF65" i="3"/>
  <c r="AF47" i="3"/>
  <c r="AF29" i="3"/>
  <c r="AF9" i="3"/>
  <c r="AD168" i="3"/>
  <c r="AD52" i="3"/>
  <c r="AD27" i="3"/>
  <c r="W113" i="3"/>
  <c r="W64" i="3"/>
  <c r="W41" i="3"/>
  <c r="U180" i="3"/>
  <c r="U150" i="3"/>
  <c r="U83" i="3"/>
  <c r="U27" i="3"/>
  <c r="AP162" i="3"/>
  <c r="AN156" i="3"/>
  <c r="AN52" i="3"/>
  <c r="AL163" i="3"/>
  <c r="AL17" i="3"/>
  <c r="AJ179" i="3"/>
  <c r="AJ101" i="3"/>
  <c r="AJ59" i="3"/>
  <c r="AJ36" i="3"/>
  <c r="AH163" i="3"/>
  <c r="AH82" i="3"/>
  <c r="AH47" i="3"/>
  <c r="AH11" i="3"/>
  <c r="AF139" i="3"/>
  <c r="AF28" i="3"/>
  <c r="AD144" i="3"/>
  <c r="AD119" i="3"/>
  <c r="AD96" i="3"/>
  <c r="AD5" i="3"/>
  <c r="AB162" i="3"/>
  <c r="AB113" i="3"/>
  <c r="AB42" i="3"/>
  <c r="W156" i="3"/>
  <c r="W132" i="3"/>
  <c r="W83" i="3"/>
  <c r="W40" i="3"/>
  <c r="U113" i="3"/>
  <c r="U53" i="3"/>
  <c r="AZ139" i="3"/>
  <c r="AZ127" i="3"/>
  <c r="AZ114" i="3"/>
  <c r="AZ90" i="3"/>
  <c r="AZ42" i="3"/>
  <c r="AZ102" i="3"/>
  <c r="AH99" i="3"/>
  <c r="AD111" i="3"/>
  <c r="AB75" i="3"/>
  <c r="AF181" i="3"/>
  <c r="AB181" i="3"/>
  <c r="AH181" i="3"/>
  <c r="U181" i="3"/>
  <c r="W157" i="3"/>
  <c r="U157" i="3"/>
  <c r="AL157" i="3"/>
  <c r="AF157" i="3"/>
  <c r="AR157" i="3"/>
  <c r="U145" i="3"/>
  <c r="AB145" i="3"/>
  <c r="W145" i="3"/>
  <c r="AJ145" i="3"/>
  <c r="AF133" i="3"/>
  <c r="U133" i="3"/>
  <c r="AB133" i="3"/>
  <c r="AH133" i="3"/>
  <c r="AB121" i="3"/>
  <c r="AP121" i="3"/>
  <c r="AD121" i="3"/>
  <c r="AF108" i="3"/>
  <c r="W108" i="3"/>
  <c r="AL108" i="3"/>
  <c r="U108" i="3"/>
  <c r="AD108" i="3"/>
  <c r="AH108" i="3"/>
  <c r="AZ183" i="3"/>
  <c r="AZ98" i="3"/>
  <c r="AR136" i="3"/>
  <c r="AR63" i="3"/>
  <c r="AP172" i="3"/>
  <c r="AP99" i="3"/>
  <c r="AL169" i="3"/>
  <c r="AJ175" i="3"/>
  <c r="AH151" i="3"/>
  <c r="AH42" i="3"/>
  <c r="AF136" i="3"/>
  <c r="AF99" i="3"/>
  <c r="AD172" i="3"/>
  <c r="AD87" i="3"/>
  <c r="AD42" i="3"/>
  <c r="AB136" i="3"/>
  <c r="AB51" i="3"/>
  <c r="W99" i="3"/>
  <c r="U172" i="3"/>
  <c r="AB179" i="3"/>
  <c r="W179" i="3"/>
  <c r="AD179" i="3"/>
  <c r="AF167" i="3"/>
  <c r="U167" i="3"/>
  <c r="AP167" i="3"/>
  <c r="U155" i="3"/>
  <c r="AB155" i="3"/>
  <c r="W143" i="3"/>
  <c r="AF143" i="3"/>
  <c r="AD131" i="3"/>
  <c r="AR131" i="3"/>
  <c r="U118" i="3"/>
  <c r="W118" i="3"/>
  <c r="AF106" i="3"/>
  <c r="U106" i="3"/>
  <c r="AD106" i="3"/>
  <c r="AB106" i="3"/>
  <c r="AB94" i="3"/>
  <c r="AP94" i="3"/>
  <c r="AH94" i="3"/>
  <c r="AT94" i="3"/>
  <c r="AB70" i="3"/>
  <c r="U70" i="3"/>
  <c r="W70" i="3"/>
  <c r="U58" i="3"/>
  <c r="W58" i="3"/>
  <c r="AR58" i="3"/>
  <c r="AD58" i="3"/>
  <c r="AR75" i="3"/>
  <c r="AP111" i="3"/>
  <c r="AN175" i="3"/>
  <c r="AN157" i="3"/>
  <c r="AL133" i="3"/>
  <c r="AF169" i="3"/>
  <c r="AD63" i="3"/>
  <c r="AF166" i="3"/>
  <c r="AD166" i="3"/>
  <c r="AH154" i="3"/>
  <c r="AD154" i="3"/>
  <c r="AP154" i="3"/>
  <c r="AH142" i="3"/>
  <c r="AD142" i="3"/>
  <c r="AJ117" i="3"/>
  <c r="AH117" i="3"/>
  <c r="AR117" i="3"/>
  <c r="AJ105" i="3"/>
  <c r="AF105" i="3"/>
  <c r="AJ81" i="3"/>
  <c r="AP81" i="3"/>
  <c r="AT81" i="3"/>
  <c r="AJ45" i="3"/>
  <c r="AR45" i="3"/>
  <c r="AZ145" i="3"/>
  <c r="AZ96" i="3"/>
  <c r="AP169" i="3"/>
  <c r="AP139" i="3"/>
  <c r="AN54" i="3"/>
  <c r="AJ133" i="3"/>
  <c r="AJ78" i="3"/>
  <c r="AD82" i="3"/>
  <c r="AB131" i="3"/>
  <c r="AB108" i="3"/>
  <c r="W94" i="3"/>
  <c r="U143" i="3"/>
  <c r="U82" i="3"/>
  <c r="AB172" i="3"/>
  <c r="W175" i="3"/>
  <c r="U175" i="3"/>
  <c r="U151" i="3"/>
  <c r="AF151" i="3"/>
  <c r="AR151" i="3"/>
  <c r="AD151" i="3"/>
  <c r="W151" i="3"/>
  <c r="W127" i="3"/>
  <c r="U127" i="3"/>
  <c r="U114" i="3"/>
  <c r="AB114" i="3"/>
  <c r="AP114" i="3"/>
  <c r="AF102" i="3"/>
  <c r="AH102" i="3"/>
  <c r="AB90" i="3"/>
  <c r="AF90" i="3"/>
  <c r="U78" i="3"/>
  <c r="W78" i="3"/>
  <c r="AR78" i="3"/>
  <c r="U66" i="3"/>
  <c r="AH66" i="3"/>
  <c r="AF42" i="3"/>
  <c r="AP42" i="3"/>
  <c r="AT42" i="3"/>
  <c r="W30" i="3"/>
  <c r="AH30" i="3"/>
  <c r="U30" i="3"/>
  <c r="AZ141" i="3"/>
  <c r="AZ56" i="3"/>
  <c r="AL127" i="3"/>
  <c r="AJ108" i="3"/>
  <c r="AJ90" i="3"/>
  <c r="AJ54" i="3"/>
  <c r="AH121" i="3"/>
  <c r="AD181" i="3"/>
  <c r="U173" i="3"/>
  <c r="AL173" i="3"/>
  <c r="AB173" i="3"/>
  <c r="AD173" i="3"/>
  <c r="AF173" i="3"/>
  <c r="AH173" i="3"/>
  <c r="AB161" i="3"/>
  <c r="AJ161" i="3"/>
  <c r="AP161" i="3"/>
  <c r="AN161" i="3"/>
  <c r="AH149" i="3"/>
  <c r="AB149" i="3"/>
  <c r="AL149" i="3"/>
  <c r="U137" i="3"/>
  <c r="AF137" i="3"/>
  <c r="AN137" i="3"/>
  <c r="AB137" i="3"/>
  <c r="W137" i="3"/>
  <c r="AJ137" i="3"/>
  <c r="W125" i="3"/>
  <c r="AL125" i="3"/>
  <c r="AR125" i="3"/>
  <c r="U125" i="3"/>
  <c r="AD125" i="3"/>
  <c r="AH125" i="3"/>
  <c r="AB112" i="3"/>
  <c r="AJ112" i="3"/>
  <c r="W112" i="3"/>
  <c r="AN112" i="3"/>
  <c r="AD100" i="3"/>
  <c r="AT100" i="3"/>
  <c r="U100" i="3"/>
  <c r="W100" i="3"/>
  <c r="AL100" i="3"/>
  <c r="AN88" i="3"/>
  <c r="AT88" i="3"/>
  <c r="AH88" i="3"/>
  <c r="U88" i="3"/>
  <c r="AB88" i="3"/>
  <c r="AJ88" i="3"/>
  <c r="AP88" i="3"/>
  <c r="U76" i="3"/>
  <c r="W76" i="3"/>
  <c r="AL76" i="3"/>
  <c r="AF76" i="3"/>
  <c r="AD76" i="3"/>
  <c r="AD64" i="3"/>
  <c r="AB64" i="3"/>
  <c r="AJ64" i="3"/>
  <c r="AN64" i="3"/>
  <c r="AF160" i="3"/>
  <c r="W160" i="3"/>
  <c r="AH148" i="3"/>
  <c r="AD148" i="3"/>
  <c r="AB148" i="3"/>
  <c r="AP148" i="3"/>
  <c r="U148" i="3"/>
  <c r="AH136" i="3"/>
  <c r="AD136" i="3"/>
  <c r="AH124" i="3"/>
  <c r="AB124" i="3"/>
  <c r="AJ111" i="3"/>
  <c r="W111" i="3"/>
  <c r="AR111" i="3"/>
  <c r="AJ99" i="3"/>
  <c r="U99" i="3"/>
  <c r="AB99" i="3"/>
  <c r="AJ87" i="3"/>
  <c r="AH87" i="3"/>
  <c r="W87" i="3"/>
  <c r="AJ75" i="3"/>
  <c r="AF75" i="3"/>
  <c r="AT75" i="3"/>
  <c r="AP75" i="3"/>
  <c r="AJ63" i="3"/>
  <c r="W63" i="3"/>
  <c r="AF63" i="3"/>
  <c r="AJ51" i="3"/>
  <c r="AD51" i="3"/>
  <c r="U51" i="3"/>
  <c r="AT16" i="3"/>
  <c r="AT3" i="3"/>
  <c r="AR52" i="3"/>
  <c r="AR39" i="3"/>
  <c r="AR12" i="3"/>
  <c r="AP48" i="3"/>
  <c r="AP22" i="3"/>
  <c r="AP9" i="3"/>
  <c r="AN16" i="3"/>
  <c r="AL52" i="3"/>
  <c r="AL4" i="3"/>
  <c r="AJ119" i="3"/>
  <c r="AJ40" i="3"/>
  <c r="AJ23" i="3"/>
  <c r="AH156" i="3"/>
  <c r="AH52" i="3"/>
  <c r="AH36" i="3"/>
  <c r="AH22" i="3"/>
  <c r="AF39" i="3"/>
  <c r="AF22" i="3"/>
  <c r="AF6" i="3"/>
  <c r="AD41" i="3"/>
  <c r="AB72" i="3"/>
  <c r="AB40" i="3"/>
  <c r="AB22" i="3"/>
  <c r="W36" i="3"/>
  <c r="AD72" i="3"/>
  <c r="AD39" i="3"/>
  <c r="AD6" i="3"/>
  <c r="AB36" i="3"/>
  <c r="AB3" i="3"/>
  <c r="W34" i="3"/>
  <c r="U84" i="3"/>
  <c r="U28" i="3"/>
  <c r="AL60" i="3"/>
  <c r="AL12" i="3"/>
  <c r="AJ96" i="3"/>
  <c r="AJ48" i="3"/>
  <c r="AH60" i="3"/>
  <c r="AH16" i="3"/>
  <c r="AD180" i="3"/>
  <c r="AB15" i="3"/>
  <c r="W180" i="3"/>
  <c r="W96" i="3"/>
  <c r="U119" i="3"/>
  <c r="AT22" i="3"/>
  <c r="AT9" i="3"/>
  <c r="AR84" i="3"/>
  <c r="AR6" i="3"/>
  <c r="AP16" i="3"/>
  <c r="AP3" i="3"/>
  <c r="AN40" i="3"/>
  <c r="AL28" i="3"/>
  <c r="AJ95" i="3"/>
  <c r="AJ47" i="3"/>
  <c r="AH180" i="3"/>
  <c r="AH132" i="3"/>
  <c r="AH72" i="3"/>
  <c r="AH15" i="3"/>
  <c r="AF46" i="3"/>
  <c r="AF12" i="3"/>
  <c r="W28" i="3"/>
  <c r="U60" i="3"/>
  <c r="AD15" i="3"/>
  <c r="U36" i="3"/>
  <c r="U183" i="3"/>
  <c r="W183" i="3"/>
  <c r="AB183" i="3"/>
  <c r="AD183" i="3"/>
  <c r="AF183" i="3"/>
  <c r="AH183" i="3"/>
  <c r="AJ183" i="3"/>
  <c r="AL183" i="3"/>
  <c r="AN183" i="3"/>
  <c r="AP183" i="3"/>
  <c r="AR183" i="3"/>
  <c r="U171" i="3"/>
  <c r="W171" i="3"/>
  <c r="AB171" i="3"/>
  <c r="AD171" i="3"/>
  <c r="AF171" i="3"/>
  <c r="AH171" i="3"/>
  <c r="AJ171" i="3"/>
  <c r="AL171" i="3"/>
  <c r="AN171" i="3"/>
  <c r="AP171" i="3"/>
  <c r="AR171" i="3"/>
  <c r="U159" i="3"/>
  <c r="W159" i="3"/>
  <c r="AB159" i="3"/>
  <c r="AD159" i="3"/>
  <c r="AF159" i="3"/>
  <c r="AH159" i="3"/>
  <c r="AJ159" i="3"/>
  <c r="AL159" i="3"/>
  <c r="AN159" i="3"/>
  <c r="AP159" i="3"/>
  <c r="AR159" i="3"/>
  <c r="U147" i="3"/>
  <c r="W147" i="3"/>
  <c r="AB147" i="3"/>
  <c r="AD147" i="3"/>
  <c r="AF147" i="3"/>
  <c r="AH147" i="3"/>
  <c r="AJ147" i="3"/>
  <c r="AL147" i="3"/>
  <c r="AN147" i="3"/>
  <c r="AP147" i="3"/>
  <c r="AR147" i="3"/>
  <c r="U135" i="3"/>
  <c r="W135" i="3"/>
  <c r="AB135" i="3"/>
  <c r="AD135" i="3"/>
  <c r="AF135" i="3"/>
  <c r="AH135" i="3"/>
  <c r="AJ135" i="3"/>
  <c r="AL135" i="3"/>
  <c r="AN135" i="3"/>
  <c r="AP135" i="3"/>
  <c r="AR135" i="3"/>
  <c r="U123" i="3"/>
  <c r="W123" i="3"/>
  <c r="AB123" i="3"/>
  <c r="AD123" i="3"/>
  <c r="AF123" i="3"/>
  <c r="AH123" i="3"/>
  <c r="AJ123" i="3"/>
  <c r="AL123" i="3"/>
  <c r="AN123" i="3"/>
  <c r="AP123" i="3"/>
  <c r="AR123" i="3"/>
  <c r="U110" i="3"/>
  <c r="W110" i="3"/>
  <c r="AB110" i="3"/>
  <c r="AD110" i="3"/>
  <c r="AF110" i="3"/>
  <c r="AH110" i="3"/>
  <c r="AJ110" i="3"/>
  <c r="AL110" i="3"/>
  <c r="AN110" i="3"/>
  <c r="AP110" i="3"/>
  <c r="AR110" i="3"/>
  <c r="U98" i="3"/>
  <c r="W98" i="3"/>
  <c r="AB98" i="3"/>
  <c r="AD98" i="3"/>
  <c r="AF98" i="3"/>
  <c r="AH98" i="3"/>
  <c r="AJ98" i="3"/>
  <c r="AL98" i="3"/>
  <c r="AN98" i="3"/>
  <c r="AP98" i="3"/>
  <c r="AR98" i="3"/>
  <c r="U86" i="3"/>
  <c r="W86" i="3"/>
  <c r="AB86" i="3"/>
  <c r="AD86" i="3"/>
  <c r="AF86" i="3"/>
  <c r="AH86" i="3"/>
  <c r="AJ86" i="3"/>
  <c r="AL86" i="3"/>
  <c r="AN86" i="3"/>
  <c r="AP86" i="3"/>
  <c r="AR86" i="3"/>
  <c r="U74" i="3"/>
  <c r="W74" i="3"/>
  <c r="AB74" i="3"/>
  <c r="AD74" i="3"/>
  <c r="AF74" i="3"/>
  <c r="AH74" i="3"/>
  <c r="AJ74" i="3"/>
  <c r="AL74" i="3"/>
  <c r="AN74" i="3"/>
  <c r="AP74" i="3"/>
  <c r="AR74" i="3"/>
  <c r="U62" i="3"/>
  <c r="W62" i="3"/>
  <c r="AB62" i="3"/>
  <c r="AD62" i="3"/>
  <c r="AF62" i="3"/>
  <c r="AH62" i="3"/>
  <c r="AJ62" i="3"/>
  <c r="AL62" i="3"/>
  <c r="AN62" i="3"/>
  <c r="AP62" i="3"/>
  <c r="AR62" i="3"/>
  <c r="AT62" i="3"/>
  <c r="U50" i="3"/>
  <c r="W50" i="3"/>
  <c r="AB50" i="3"/>
  <c r="AD50" i="3"/>
  <c r="AF50" i="3"/>
  <c r="AH50" i="3"/>
  <c r="AJ50" i="3"/>
  <c r="AL50" i="3"/>
  <c r="AN50" i="3"/>
  <c r="AP50" i="3"/>
  <c r="AR50" i="3"/>
  <c r="AT50" i="3"/>
  <c r="U38" i="3"/>
  <c r="W38" i="3"/>
  <c r="AB38" i="3"/>
  <c r="AD38" i="3"/>
  <c r="AF38" i="3"/>
  <c r="AH38" i="3"/>
  <c r="AJ38" i="3"/>
  <c r="AL38" i="3"/>
  <c r="AN38" i="3"/>
  <c r="AP38" i="3"/>
  <c r="AR38" i="3"/>
  <c r="AT38" i="3"/>
  <c r="U26" i="3"/>
  <c r="W26" i="3"/>
  <c r="AB26" i="3"/>
  <c r="AD26" i="3"/>
  <c r="AF26" i="3"/>
  <c r="AH26" i="3"/>
  <c r="AJ26" i="3"/>
  <c r="AL26" i="3"/>
  <c r="AN26" i="3"/>
  <c r="AP26" i="3"/>
  <c r="AR26" i="3"/>
  <c r="AT26" i="3"/>
  <c r="W14" i="3"/>
  <c r="AB14" i="3"/>
  <c r="AD14" i="3"/>
  <c r="AF14" i="3"/>
  <c r="AH14" i="3"/>
  <c r="AJ14" i="3"/>
  <c r="AL14" i="3"/>
  <c r="AN14" i="3"/>
  <c r="AP14" i="3"/>
  <c r="AR14" i="3"/>
  <c r="AT14" i="3"/>
  <c r="AZ177" i="3"/>
  <c r="AZ165" i="3"/>
  <c r="AZ153" i="3"/>
  <c r="AZ116" i="3"/>
  <c r="AZ176" i="3"/>
  <c r="AZ115" i="3"/>
  <c r="AZ103" i="3"/>
  <c r="AZ91" i="3"/>
  <c r="AZ79" i="3"/>
  <c r="AZ67" i="3"/>
  <c r="AZ164" i="3"/>
  <c r="AZ54" i="3"/>
  <c r="AZ152" i="3"/>
  <c r="AZ151" i="3"/>
  <c r="AZ128" i="3"/>
  <c r="AZ140" i="3"/>
  <c r="AZ159" i="3"/>
  <c r="AZ123" i="3"/>
  <c r="AZ110" i="3"/>
  <c r="AZ86" i="3"/>
  <c r="AZ74" i="3"/>
  <c r="AZ62" i="3"/>
  <c r="AZ50" i="3"/>
  <c r="AZ38" i="3"/>
  <c r="AT86" i="3"/>
  <c r="AT74" i="3"/>
  <c r="AZ146" i="3"/>
  <c r="AZ122" i="3"/>
  <c r="AZ109" i="3"/>
  <c r="AZ97" i="3"/>
  <c r="AZ85" i="3"/>
  <c r="AZ73" i="3"/>
  <c r="AZ133" i="3"/>
  <c r="AZ121" i="3"/>
  <c r="AZ84" i="3"/>
  <c r="AZ179" i="3"/>
  <c r="AZ178" i="3"/>
  <c r="AZ166" i="3"/>
  <c r="AZ154" i="3"/>
  <c r="AZ142" i="3"/>
  <c r="AZ130" i="3"/>
  <c r="AZ117" i="3"/>
  <c r="AZ105" i="3"/>
  <c r="AZ93" i="3"/>
  <c r="AZ81" i="3"/>
  <c r="AZ69" i="3"/>
  <c r="AZ57" i="3"/>
  <c r="AZ45" i="3"/>
  <c r="AN178" i="3"/>
  <c r="AN166" i="3"/>
  <c r="AN154" i="3"/>
  <c r="AN142" i="3"/>
  <c r="AN130" i="3"/>
  <c r="AN117" i="3"/>
  <c r="AN105" i="3"/>
  <c r="AN93" i="3"/>
  <c r="AN81" i="3"/>
  <c r="AN69" i="3"/>
  <c r="AN57" i="3"/>
  <c r="AN45" i="3"/>
  <c r="AN33" i="3"/>
  <c r="AN21" i="3"/>
  <c r="AN9" i="3"/>
  <c r="AL178" i="3"/>
  <c r="AL166" i="3"/>
  <c r="AL154" i="3"/>
  <c r="AL142" i="3"/>
  <c r="AL130" i="3"/>
  <c r="AL117" i="3"/>
  <c r="AL105" i="3"/>
  <c r="AL93" i="3"/>
  <c r="AL81" i="3"/>
  <c r="AL69" i="3"/>
  <c r="AL57" i="3"/>
  <c r="AL45" i="3"/>
  <c r="AL33" i="3"/>
  <c r="AL21" i="3"/>
  <c r="AL9" i="3"/>
  <c r="AJ178" i="3"/>
  <c r="AJ166" i="3"/>
  <c r="AJ154" i="3"/>
  <c r="AJ142" i="3"/>
  <c r="AJ130" i="3"/>
  <c r="AJ21" i="3"/>
  <c r="AH166" i="3"/>
  <c r="AH90" i="3"/>
  <c r="AH51" i="3"/>
  <c r="AH24" i="3"/>
  <c r="AF127" i="3"/>
  <c r="AF87" i="3"/>
  <c r="AF60" i="3"/>
  <c r="AD163" i="3"/>
  <c r="AD124" i="3"/>
  <c r="AD66" i="3"/>
  <c r="AB175" i="3"/>
  <c r="AB102" i="3"/>
  <c r="AB30" i="3"/>
  <c r="W139" i="3"/>
  <c r="W66" i="3"/>
  <c r="AZ55" i="3"/>
  <c r="AZ43" i="3"/>
  <c r="U139" i="3"/>
  <c r="U90" i="3"/>
  <c r="U42" i="3"/>
  <c r="AF18" i="3"/>
  <c r="AD133" i="3"/>
  <c r="AD48" i="3"/>
  <c r="AB157" i="3"/>
  <c r="AB84" i="3"/>
  <c r="AB12" i="3"/>
  <c r="W121" i="3"/>
  <c r="W48" i="3"/>
  <c r="AF175" i="3"/>
  <c r="AF30" i="3"/>
  <c r="AD145" i="3"/>
  <c r="AD90" i="3"/>
  <c r="AD18" i="3"/>
  <c r="AB127" i="3"/>
  <c r="AB54" i="3"/>
  <c r="W163" i="3"/>
  <c r="W90" i="3"/>
  <c r="W18" i="3"/>
  <c r="U169" i="3"/>
  <c r="U121" i="3"/>
  <c r="U24" i="3"/>
  <c r="U178" i="3"/>
  <c r="W178" i="3"/>
  <c r="AB178" i="3"/>
  <c r="U166" i="3"/>
  <c r="W166" i="3"/>
  <c r="AB166" i="3"/>
  <c r="U154" i="3"/>
  <c r="W154" i="3"/>
  <c r="AB154" i="3"/>
  <c r="U142" i="3"/>
  <c r="W142" i="3"/>
  <c r="AB142" i="3"/>
  <c r="U130" i="3"/>
  <c r="W130" i="3"/>
  <c r="AB130" i="3"/>
  <c r="U117" i="3"/>
  <c r="W117" i="3"/>
  <c r="AB117" i="3"/>
  <c r="U105" i="3"/>
  <c r="W105" i="3"/>
  <c r="AB105" i="3"/>
  <c r="AD105" i="3"/>
  <c r="U93" i="3"/>
  <c r="W93" i="3"/>
  <c r="AB93" i="3"/>
  <c r="AD93" i="3"/>
  <c r="U81" i="3"/>
  <c r="W81" i="3"/>
  <c r="AB81" i="3"/>
  <c r="AD81" i="3"/>
  <c r="U69" i="3"/>
  <c r="W69" i="3"/>
  <c r="AB69" i="3"/>
  <c r="AD69" i="3"/>
  <c r="U57" i="3"/>
  <c r="W57" i="3"/>
  <c r="AB57" i="3"/>
  <c r="AD57" i="3"/>
  <c r="U45" i="3"/>
  <c r="W45" i="3"/>
  <c r="AB45" i="3"/>
  <c r="AD45" i="3"/>
  <c r="U33" i="3"/>
  <c r="W33" i="3"/>
  <c r="AB33" i="3"/>
  <c r="AD33" i="3"/>
  <c r="U21" i="3"/>
  <c r="W21" i="3"/>
  <c r="AB21" i="3"/>
  <c r="AD21" i="3"/>
  <c r="W9" i="3"/>
  <c r="AB9" i="3"/>
  <c r="AD9" i="3"/>
  <c r="AZ137" i="3"/>
  <c r="AZ112" i="3"/>
  <c r="AZ100" i="3"/>
  <c r="AZ76" i="3"/>
  <c r="AZ64" i="3"/>
  <c r="AZ40" i="3"/>
  <c r="AH111" i="3"/>
  <c r="AH84" i="3"/>
  <c r="AH45" i="3"/>
  <c r="AF148" i="3"/>
  <c r="AF121" i="3"/>
  <c r="AF81" i="3"/>
  <c r="AF3" i="3"/>
  <c r="AD157" i="3"/>
  <c r="AD117" i="3"/>
  <c r="AD75" i="3"/>
  <c r="AD60" i="3"/>
  <c r="AD3" i="3"/>
  <c r="AB169" i="3"/>
  <c r="AB111" i="3"/>
  <c r="AB96" i="3"/>
  <c r="AB39" i="3"/>
  <c r="AB24" i="3"/>
  <c r="W148" i="3"/>
  <c r="W133" i="3"/>
  <c r="W75" i="3"/>
  <c r="W3" i="3"/>
  <c r="U136" i="3"/>
  <c r="U102" i="3"/>
  <c r="U87" i="3"/>
  <c r="U54" i="3"/>
  <c r="U39" i="3"/>
  <c r="AN172" i="3"/>
  <c r="AN160" i="3"/>
  <c r="AN148" i="3"/>
  <c r="AN136" i="3"/>
  <c r="AN124" i="3"/>
  <c r="AN111" i="3"/>
  <c r="AN99" i="3"/>
  <c r="AN87" i="3"/>
  <c r="AN75" i="3"/>
  <c r="AN63" i="3"/>
  <c r="AN51" i="3"/>
  <c r="AN39" i="3"/>
  <c r="AN27" i="3"/>
  <c r="AN15" i="3"/>
  <c r="AN3" i="3"/>
  <c r="AL172" i="3"/>
  <c r="AL160" i="3"/>
  <c r="AL148" i="3"/>
  <c r="AL136" i="3"/>
  <c r="AL124" i="3"/>
  <c r="AL111" i="3"/>
  <c r="AL99" i="3"/>
  <c r="AL87" i="3"/>
  <c r="AL75" i="3"/>
  <c r="AL63" i="3"/>
  <c r="AL51" i="3"/>
  <c r="AL39" i="3"/>
  <c r="AL27" i="3"/>
  <c r="AL15" i="3"/>
  <c r="AL3" i="3"/>
  <c r="AJ172" i="3"/>
  <c r="AJ160" i="3"/>
  <c r="AJ148" i="3"/>
  <c r="AJ136" i="3"/>
  <c r="AJ124" i="3"/>
  <c r="AJ15" i="3"/>
  <c r="AH160" i="3"/>
  <c r="AH96" i="3"/>
  <c r="AH57" i="3"/>
  <c r="AH18" i="3"/>
  <c r="AF93" i="3"/>
  <c r="AF54" i="3"/>
  <c r="AD130" i="3"/>
  <c r="AD102" i="3"/>
  <c r="AD30" i="3"/>
  <c r="AB139" i="3"/>
  <c r="AB66" i="3"/>
  <c r="W102" i="3"/>
  <c r="AZ49" i="3"/>
  <c r="AZ37" i="3"/>
  <c r="U163" i="3"/>
  <c r="AD127" i="3"/>
  <c r="AD84" i="3"/>
  <c r="AD12" i="3"/>
  <c r="AB48" i="3"/>
  <c r="AD54" i="3"/>
  <c r="AZ120" i="3"/>
  <c r="AH120" i="3"/>
  <c r="W120" i="3"/>
  <c r="AZ138" i="3"/>
  <c r="AZ41" i="3"/>
  <c r="U120" i="3"/>
  <c r="AZ113" i="3"/>
  <c r="AZ77" i="3"/>
  <c r="AZ172" i="3"/>
  <c r="AZ160" i="3"/>
  <c r="AZ148" i="3"/>
  <c r="AZ136" i="3"/>
  <c r="AZ124" i="3"/>
  <c r="AZ111" i="3"/>
  <c r="AZ99" i="3"/>
  <c r="AZ87" i="3"/>
  <c r="AZ75" i="3"/>
  <c r="AZ63" i="3"/>
  <c r="AZ51" i="3"/>
  <c r="AZ39" i="3"/>
  <c r="AZ150" i="3"/>
  <c r="AZ53" i="3"/>
  <c r="AZ162" i="3"/>
  <c r="AZ89" i="3"/>
  <c r="AZ126" i="3"/>
  <c r="AZ65" i="3"/>
  <c r="AZ174" i="3"/>
  <c r="AZ101" i="3"/>
  <c r="AZ144" i="3"/>
  <c r="AZ132" i="3"/>
  <c r="AZ119" i="3"/>
  <c r="AZ107" i="3"/>
  <c r="AZ95" i="3"/>
  <c r="AZ83" i="3"/>
  <c r="AZ71" i="3"/>
  <c r="AZ59" i="3"/>
  <c r="AZ47" i="3"/>
  <c r="AT120" i="3"/>
  <c r="AD120" i="3"/>
  <c r="AZ182" i="3"/>
  <c r="AZ170" i="3"/>
  <c r="AZ158" i="3"/>
  <c r="AB120" i="3"/>
  <c r="AZ156" i="3"/>
  <c r="AR120" i="3"/>
  <c r="AZ180" i="3"/>
  <c r="AP120" i="3"/>
  <c r="AZ168" i="3"/>
  <c r="AZ173" i="3"/>
  <c r="AZ161" i="3"/>
  <c r="AZ149" i="3"/>
  <c r="AZ147" i="3"/>
  <c r="AR184" i="6" l="1"/>
  <c r="AR185" i="6" s="1"/>
  <c r="AK185" i="6"/>
  <c r="AE185" i="6"/>
  <c r="AC185" i="6"/>
  <c r="AI185" i="6"/>
  <c r="AG185" i="6"/>
  <c r="T67" i="2"/>
  <c r="T2" i="2"/>
  <c r="T3" i="2"/>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160" i="2"/>
  <c r="T161" i="2"/>
  <c r="T162" i="2"/>
  <c r="T163" i="2"/>
  <c r="T164" i="2"/>
  <c r="T165" i="2"/>
  <c r="T166" i="2"/>
  <c r="T167" i="2"/>
  <c r="T168" i="2"/>
  <c r="T169" i="2"/>
  <c r="T170" i="2"/>
  <c r="T171" i="2"/>
  <c r="T172" i="2"/>
  <c r="T173" i="2"/>
  <c r="T174" i="2"/>
  <c r="T175" i="2"/>
  <c r="T176" i="2"/>
  <c r="T177" i="2"/>
  <c r="T178" i="2"/>
  <c r="T179" i="2"/>
  <c r="T180" i="2"/>
  <c r="T181" i="2"/>
  <c r="T182" i="2"/>
  <c r="T183" i="2"/>
  <c r="G120" i="2" l="1"/>
  <c r="H120" i="2"/>
  <c r="J120" i="2"/>
  <c r="O120" i="2"/>
  <c r="P120" i="2"/>
  <c r="AN120"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AB28" i="2"/>
  <c r="AD29" i="2"/>
  <c r="W30" i="2"/>
  <c r="U31" i="2"/>
  <c r="U32" i="2"/>
  <c r="AB33" i="2"/>
  <c r="U34" i="2"/>
  <c r="U35" i="2"/>
  <c r="W36" i="2"/>
  <c r="AB37" i="2"/>
  <c r="AD38" i="2"/>
  <c r="U39" i="2"/>
  <c r="AB40" i="2"/>
  <c r="AB41" i="2"/>
  <c r="U42" i="2"/>
  <c r="AD43" i="2"/>
  <c r="U44" i="2"/>
  <c r="U45" i="2"/>
  <c r="U46" i="2"/>
  <c r="U47" i="2"/>
  <c r="W48" i="2"/>
  <c r="AB49" i="2"/>
  <c r="AD50" i="2"/>
  <c r="U51" i="2"/>
  <c r="AB52" i="2"/>
  <c r="W53" i="2"/>
  <c r="AF54" i="2"/>
  <c r="AL55" i="2"/>
  <c r="W56" i="2"/>
  <c r="AB57" i="2"/>
  <c r="U58" i="2"/>
  <c r="U59" i="2"/>
  <c r="W60" i="2"/>
  <c r="AB61" i="2"/>
  <c r="AD62" i="2"/>
  <c r="U63" i="2"/>
  <c r="AB64" i="2"/>
  <c r="AF65" i="2"/>
  <c r="AB66" i="2"/>
  <c r="AB67" i="2"/>
  <c r="W68" i="2"/>
  <c r="U69" i="2"/>
  <c r="W70" i="2"/>
  <c r="AD71" i="2"/>
  <c r="W72" i="2"/>
  <c r="AB73" i="2"/>
  <c r="AD74" i="2"/>
  <c r="U75" i="2"/>
  <c r="AB76" i="2"/>
  <c r="W77" i="2"/>
  <c r="W78" i="2"/>
  <c r="AF79" i="2"/>
  <c r="AB80" i="2"/>
  <c r="U81" i="2"/>
  <c r="U82" i="2"/>
  <c r="W83" i="2"/>
  <c r="W84" i="2"/>
  <c r="AB85" i="2"/>
  <c r="AD86" i="2"/>
  <c r="AT87" i="2"/>
  <c r="AB88" i="2"/>
  <c r="AB89" i="2"/>
  <c r="U90" i="2"/>
  <c r="AB91" i="2"/>
  <c r="AF92" i="2"/>
  <c r="AB93" i="2"/>
  <c r="AB94" i="2"/>
  <c r="W95" i="2"/>
  <c r="W96" i="2"/>
  <c r="AB97" i="2"/>
  <c r="AD98" i="2"/>
  <c r="U99" i="2"/>
  <c r="AB100" i="2"/>
  <c r="AD101" i="2"/>
  <c r="U102" i="2"/>
  <c r="AD103" i="2"/>
  <c r="AJ104" i="2"/>
  <c r="W105" i="2"/>
  <c r="AF106" i="2"/>
  <c r="AB107" i="2"/>
  <c r="W108" i="2"/>
  <c r="AB109" i="2"/>
  <c r="AD110" i="2"/>
  <c r="U111" i="2"/>
  <c r="AB112" i="2"/>
  <c r="W113" i="2"/>
  <c r="U114" i="2"/>
  <c r="AD115" i="2"/>
  <c r="W116" i="2"/>
  <c r="AB117" i="2"/>
  <c r="AB118" i="2"/>
  <c r="AF119" i="2"/>
  <c r="W121" i="2"/>
  <c r="AB122" i="2"/>
  <c r="AD123" i="2"/>
  <c r="U124" i="2"/>
  <c r="AB125" i="2"/>
  <c r="W126" i="2"/>
  <c r="W127" i="2"/>
  <c r="W128" i="2"/>
  <c r="W129" i="2"/>
  <c r="AB130" i="2"/>
  <c r="W131" i="2"/>
  <c r="W132" i="2"/>
  <c r="W133" i="2"/>
  <c r="AB134" i="2"/>
  <c r="AD135" i="2"/>
  <c r="U136" i="2"/>
  <c r="AB137" i="2"/>
  <c r="AB138" i="2"/>
  <c r="U139" i="2"/>
  <c r="AB140" i="2"/>
  <c r="AB141" i="2"/>
  <c r="AD142" i="2"/>
  <c r="AB143" i="2"/>
  <c r="AF144" i="2"/>
  <c r="W145" i="2"/>
  <c r="AB146" i="2"/>
  <c r="AD147" i="2"/>
  <c r="W149" i="2"/>
  <c r="AF150" i="2"/>
  <c r="U151" i="2"/>
  <c r="U152" i="2"/>
  <c r="W153" i="2"/>
  <c r="AB154" i="2"/>
  <c r="U155" i="2"/>
  <c r="AF156" i="2"/>
  <c r="U157" i="2"/>
  <c r="W158" i="2"/>
  <c r="AB159" i="2"/>
  <c r="W161" i="2"/>
  <c r="U162" i="2"/>
  <c r="U163" i="2"/>
  <c r="U164" i="2"/>
  <c r="W165" i="2"/>
  <c r="AB166" i="2"/>
  <c r="U167" i="2"/>
  <c r="U168" i="2"/>
  <c r="U169" i="2"/>
  <c r="W170" i="2"/>
  <c r="AB171" i="2"/>
  <c r="W173" i="2"/>
  <c r="AB174" i="2"/>
  <c r="U175" i="2"/>
  <c r="U176" i="2"/>
  <c r="W177" i="2"/>
  <c r="AB178" i="2"/>
  <c r="U179" i="2"/>
  <c r="AB180" i="2"/>
  <c r="U181" i="2"/>
  <c r="W182" i="2"/>
  <c r="AB183" i="2"/>
  <c r="U118" i="2"/>
  <c r="U131" i="2"/>
  <c r="U143" i="2"/>
  <c r="W34" i="2"/>
  <c r="W58" i="2"/>
  <c r="W82" i="2"/>
  <c r="W94" i="2"/>
  <c r="W143" i="2"/>
  <c r="W155" i="2"/>
  <c r="AB46" i="2"/>
  <c r="AB58" i="2"/>
  <c r="AB70" i="2"/>
  <c r="AB82" i="2"/>
  <c r="AB167" i="2"/>
  <c r="AD34" i="2"/>
  <c r="AD47" i="2"/>
  <c r="AD58" i="2"/>
  <c r="AD70" i="2"/>
  <c r="AD82" i="2"/>
  <c r="AD118" i="2"/>
  <c r="AD131" i="2"/>
  <c r="AD167" i="2"/>
  <c r="AF46" i="2"/>
  <c r="AF58" i="2"/>
  <c r="AF70" i="2"/>
  <c r="AF82" i="2"/>
  <c r="AF94" i="2"/>
  <c r="AF131" i="2"/>
  <c r="AF167" i="2"/>
  <c r="AF179" i="2"/>
  <c r="AH34" i="2"/>
  <c r="AH46" i="2"/>
  <c r="AH58" i="2"/>
  <c r="AH70" i="2"/>
  <c r="AH82" i="2"/>
  <c r="AH94" i="2"/>
  <c r="AH118" i="2"/>
  <c r="AH131" i="2"/>
  <c r="AH143" i="2"/>
  <c r="AH155" i="2"/>
  <c r="AJ46" i="2"/>
  <c r="AJ58" i="2"/>
  <c r="AJ70" i="2"/>
  <c r="AJ82" i="2"/>
  <c r="AJ94" i="2"/>
  <c r="AJ106" i="2"/>
  <c r="AJ118" i="2"/>
  <c r="AJ131" i="2"/>
  <c r="AJ155" i="2"/>
  <c r="AJ179" i="2"/>
  <c r="AL34" i="2"/>
  <c r="AL46" i="2"/>
  <c r="AL58" i="2"/>
  <c r="AL70" i="2"/>
  <c r="AL83" i="2"/>
  <c r="AL94" i="2"/>
  <c r="AL106" i="2"/>
  <c r="AL118" i="2"/>
  <c r="AL143" i="2"/>
  <c r="AL155" i="2"/>
  <c r="AL167" i="2"/>
  <c r="AL179" i="2"/>
  <c r="AN34" i="2"/>
  <c r="AN46" i="2"/>
  <c r="AN58" i="2"/>
  <c r="AN70" i="2"/>
  <c r="AN94" i="2"/>
  <c r="AN106" i="2"/>
  <c r="AN118" i="2"/>
  <c r="AN127" i="2"/>
  <c r="AN131" i="2"/>
  <c r="AN143" i="2"/>
  <c r="AN155" i="2"/>
  <c r="AN167" i="2"/>
  <c r="AN179" i="2"/>
  <c r="AP34" i="2"/>
  <c r="AP46" i="2"/>
  <c r="AP58" i="2"/>
  <c r="AP70" i="2"/>
  <c r="AP82" i="2"/>
  <c r="AP94" i="2"/>
  <c r="AP118" i="2"/>
  <c r="AP131" i="2"/>
  <c r="AP143" i="2"/>
  <c r="AP155" i="2"/>
  <c r="AP179" i="2"/>
  <c r="AR34" i="2"/>
  <c r="AR46" i="2"/>
  <c r="AR50" i="2"/>
  <c r="AR70" i="2"/>
  <c r="AR82" i="2"/>
  <c r="AR94" i="2"/>
  <c r="AR106" i="2"/>
  <c r="AR131" i="2"/>
  <c r="AR143" i="2"/>
  <c r="AR144" i="2"/>
  <c r="AR155" i="2"/>
  <c r="AR167" i="2"/>
  <c r="AR179" i="2"/>
  <c r="AT34" i="2"/>
  <c r="AT35" i="2"/>
  <c r="AT46" i="2"/>
  <c r="AT58" i="2"/>
  <c r="AT70" i="2"/>
  <c r="AT82" i="2"/>
  <c r="AT83" i="2"/>
  <c r="AT94" i="2"/>
  <c r="AT106" i="2"/>
  <c r="AT118" i="2"/>
  <c r="AT143" i="2"/>
  <c r="AT144" i="2"/>
  <c r="AT155" i="2"/>
  <c r="AT167" i="2"/>
  <c r="AT179" i="2"/>
  <c r="AZ27" i="2"/>
  <c r="AZ28" i="2"/>
  <c r="AZ29" i="2"/>
  <c r="AZ30" i="2"/>
  <c r="AZ33" i="2"/>
  <c r="AZ36" i="2"/>
  <c r="AZ38" i="2"/>
  <c r="AZ41" i="2"/>
  <c r="AZ42" i="2"/>
  <c r="AZ43" i="2"/>
  <c r="AZ44" i="2"/>
  <c r="AZ46" i="2"/>
  <c r="AZ47" i="2"/>
  <c r="AZ48" i="2"/>
  <c r="AZ52" i="2"/>
  <c r="AZ53" i="2"/>
  <c r="AZ55" i="2"/>
  <c r="AZ56" i="2"/>
  <c r="AZ58" i="2"/>
  <c r="AZ59" i="2"/>
  <c r="AZ60" i="2"/>
  <c r="AZ63" i="2"/>
  <c r="AZ68" i="2"/>
  <c r="AZ71" i="2"/>
  <c r="AZ72" i="2"/>
  <c r="AZ74" i="2"/>
  <c r="AZ75" i="2"/>
  <c r="AZ78" i="2"/>
  <c r="AZ80" i="2"/>
  <c r="AZ85" i="2"/>
  <c r="AZ90" i="2"/>
  <c r="AZ100" i="2"/>
  <c r="AZ104" i="2"/>
  <c r="AZ105" i="2"/>
  <c r="AZ106" i="2"/>
  <c r="AZ111" i="2"/>
  <c r="AZ115" i="2"/>
  <c r="AZ116" i="2"/>
  <c r="AZ118" i="2"/>
  <c r="AZ122" i="2"/>
  <c r="AZ128" i="2"/>
  <c r="AZ129" i="2"/>
  <c r="AZ141" i="2"/>
  <c r="AZ148" i="2"/>
  <c r="AZ153" i="2"/>
  <c r="AZ154" i="2"/>
  <c r="AZ158" i="2"/>
  <c r="AZ164" i="2"/>
  <c r="AZ165" i="2"/>
  <c r="AZ172" i="2"/>
  <c r="AZ176" i="2"/>
  <c r="AZ177" i="2"/>
  <c r="AZ178" i="2"/>
  <c r="G3" i="2"/>
  <c r="G4" i="2"/>
  <c r="G5" i="2"/>
  <c r="G6" i="2"/>
  <c r="G7" i="2"/>
  <c r="G8" i="2"/>
  <c r="G9" i="2"/>
  <c r="G10" i="2"/>
  <c r="G11" i="2"/>
  <c r="G12" i="2"/>
  <c r="G13" i="2"/>
  <c r="G14" i="2"/>
  <c r="G15" i="2"/>
  <c r="G16" i="2"/>
  <c r="G17" i="2"/>
  <c r="G18" i="2"/>
  <c r="G19" i="2"/>
  <c r="G20" i="2"/>
  <c r="G21" i="2"/>
  <c r="G22" i="2"/>
  <c r="G23" i="2"/>
  <c r="G24" i="2"/>
  <c r="G25" i="2"/>
  <c r="G26" i="2"/>
  <c r="H3" i="2"/>
  <c r="H4" i="2"/>
  <c r="H5" i="2"/>
  <c r="H6" i="2"/>
  <c r="H7" i="2"/>
  <c r="H8" i="2"/>
  <c r="H9" i="2"/>
  <c r="H10" i="2"/>
  <c r="H11" i="2"/>
  <c r="H12" i="2"/>
  <c r="H13" i="2"/>
  <c r="H14" i="2"/>
  <c r="H15" i="2"/>
  <c r="H16" i="2"/>
  <c r="H17" i="2"/>
  <c r="H18" i="2"/>
  <c r="H19" i="2"/>
  <c r="H20" i="2"/>
  <c r="H21" i="2"/>
  <c r="H22" i="2"/>
  <c r="H23" i="2"/>
  <c r="H24" i="2"/>
  <c r="H25" i="2"/>
  <c r="H26" i="2"/>
  <c r="J3" i="2"/>
  <c r="J4" i="2"/>
  <c r="J5" i="2"/>
  <c r="J6" i="2"/>
  <c r="J7" i="2"/>
  <c r="J8" i="2"/>
  <c r="J9" i="2"/>
  <c r="J10" i="2"/>
  <c r="J11" i="2"/>
  <c r="J12" i="2"/>
  <c r="J13" i="2"/>
  <c r="J14" i="2"/>
  <c r="J15" i="2"/>
  <c r="J16" i="2"/>
  <c r="J17" i="2"/>
  <c r="J18" i="2"/>
  <c r="J19" i="2"/>
  <c r="J20" i="2"/>
  <c r="J21" i="2"/>
  <c r="J22" i="2"/>
  <c r="J23" i="2"/>
  <c r="J24" i="2"/>
  <c r="J25" i="2"/>
  <c r="J26" i="2"/>
  <c r="O3" i="2"/>
  <c r="O4" i="2"/>
  <c r="O5" i="2"/>
  <c r="O6" i="2"/>
  <c r="O7" i="2"/>
  <c r="O8" i="2"/>
  <c r="O9" i="2"/>
  <c r="O10" i="2"/>
  <c r="O11" i="2"/>
  <c r="O12" i="2"/>
  <c r="O13" i="2"/>
  <c r="O14" i="2"/>
  <c r="O15" i="2"/>
  <c r="O16" i="2"/>
  <c r="O17" i="2"/>
  <c r="O18" i="2"/>
  <c r="O19" i="2"/>
  <c r="O20" i="2"/>
  <c r="O21" i="2"/>
  <c r="O22" i="2"/>
  <c r="O23" i="2"/>
  <c r="O24" i="2"/>
  <c r="O25" i="2"/>
  <c r="O26" i="2"/>
  <c r="P3" i="2"/>
  <c r="P4" i="2"/>
  <c r="P5" i="2"/>
  <c r="P6" i="2"/>
  <c r="P7" i="2"/>
  <c r="P8" i="2"/>
  <c r="P9" i="2"/>
  <c r="P10" i="2"/>
  <c r="P11" i="2"/>
  <c r="P12" i="2"/>
  <c r="P13" i="2"/>
  <c r="P14" i="2"/>
  <c r="P15" i="2"/>
  <c r="P16" i="2"/>
  <c r="P17" i="2"/>
  <c r="P18" i="2"/>
  <c r="P19" i="2"/>
  <c r="P20" i="2"/>
  <c r="P21" i="2"/>
  <c r="P22" i="2"/>
  <c r="P23" i="2"/>
  <c r="P24" i="2"/>
  <c r="P25" i="2"/>
  <c r="P26" i="2"/>
  <c r="W3" i="2"/>
  <c r="W4" i="2"/>
  <c r="AD5" i="2"/>
  <c r="AF6" i="2"/>
  <c r="AT7" i="2"/>
  <c r="AB8" i="2"/>
  <c r="W9" i="2"/>
  <c r="AD10" i="2"/>
  <c r="AL11" i="2"/>
  <c r="AP12" i="2"/>
  <c r="AB13" i="2"/>
  <c r="AB14" i="2"/>
  <c r="U15" i="2"/>
  <c r="W16" i="2"/>
  <c r="AB17" i="2"/>
  <c r="AB18" i="2"/>
  <c r="AP19" i="2"/>
  <c r="U20" i="2"/>
  <c r="W21" i="2"/>
  <c r="AB22" i="2"/>
  <c r="AN23" i="2"/>
  <c r="AB24" i="2"/>
  <c r="U25" i="2"/>
  <c r="U26" i="2"/>
  <c r="F138" i="2"/>
  <c r="F67" i="2"/>
  <c r="F133" i="2"/>
  <c r="F23" i="2"/>
  <c r="F59" i="2"/>
  <c r="F132" i="2"/>
  <c r="F14" i="2"/>
  <c r="F115" i="2"/>
  <c r="F124" i="2"/>
  <c r="F175" i="2"/>
  <c r="F44" i="2"/>
  <c r="F91" i="2"/>
  <c r="F105" i="2"/>
  <c r="F10" i="2"/>
  <c r="F120" i="2"/>
  <c r="F104" i="2"/>
  <c r="F92" i="2"/>
  <c r="F117" i="2"/>
  <c r="F82" i="2"/>
  <c r="F55" i="2"/>
  <c r="F49" i="2"/>
  <c r="F86" i="2"/>
  <c r="F93" i="2"/>
  <c r="F151" i="2"/>
  <c r="F16" i="2"/>
  <c r="F68" i="2"/>
  <c r="F31" i="2"/>
  <c r="F69" i="2"/>
  <c r="F95" i="2"/>
  <c r="F84" i="2"/>
  <c r="F38" i="2"/>
  <c r="F85" i="2"/>
  <c r="F165" i="2"/>
  <c r="F81" i="2"/>
  <c r="F166" i="2"/>
  <c r="F94" i="2"/>
  <c r="F154" i="2"/>
  <c r="F160" i="2"/>
  <c r="F72" i="2"/>
  <c r="F150" i="2"/>
  <c r="F96" i="2"/>
  <c r="F56" i="2"/>
  <c r="F47" i="2"/>
  <c r="F130" i="2"/>
  <c r="F27" i="2"/>
  <c r="F53" i="2"/>
  <c r="F60" i="2"/>
  <c r="F156" i="2"/>
  <c r="F161" i="2"/>
  <c r="F149" i="2"/>
  <c r="F143" i="2"/>
  <c r="F108" i="2"/>
  <c r="F12" i="2"/>
  <c r="F89" i="2"/>
  <c r="F134" i="2"/>
  <c r="F121" i="2"/>
  <c r="F100" i="2"/>
  <c r="F112" i="2"/>
  <c r="F78" i="2"/>
  <c r="F26" i="2"/>
  <c r="F57" i="2"/>
  <c r="F74" i="2"/>
  <c r="F159" i="2"/>
  <c r="F147" i="2"/>
  <c r="F41" i="2"/>
  <c r="F101" i="2"/>
  <c r="F35" i="2"/>
  <c r="F122" i="2"/>
  <c r="F76" i="2"/>
  <c r="F73" i="2"/>
  <c r="F142" i="2"/>
  <c r="F152" i="2"/>
  <c r="F129" i="2"/>
  <c r="F37" i="2"/>
  <c r="F137" i="2"/>
  <c r="F155" i="2"/>
  <c r="F97" i="2"/>
  <c r="F135" i="2"/>
  <c r="F39" i="2"/>
  <c r="F11" i="2"/>
  <c r="F157" i="2"/>
  <c r="F77" i="2"/>
  <c r="F87" i="2"/>
  <c r="F114" i="2"/>
  <c r="F182" i="2"/>
  <c r="F102" i="2"/>
  <c r="F168" i="2"/>
  <c r="F140" i="2"/>
  <c r="F13" i="2"/>
  <c r="F50" i="2"/>
  <c r="F54" i="2"/>
  <c r="F126" i="2"/>
  <c r="F162" i="2"/>
  <c r="F141" i="2"/>
  <c r="F153" i="2"/>
  <c r="F4" i="2"/>
  <c r="F80" i="2"/>
  <c r="F46" i="2"/>
  <c r="F52" i="2"/>
  <c r="F128" i="2"/>
  <c r="F48" i="2"/>
  <c r="F18" i="2"/>
  <c r="F110" i="2"/>
  <c r="F145" i="2"/>
  <c r="F34" i="2"/>
  <c r="F176" i="2"/>
  <c r="F19" i="2"/>
  <c r="F179" i="2"/>
  <c r="F45" i="2"/>
  <c r="F79" i="2"/>
  <c r="F28" i="2"/>
  <c r="F123" i="2"/>
  <c r="F65" i="2"/>
  <c r="F170" i="2"/>
  <c r="F113" i="2"/>
  <c r="F174" i="2"/>
  <c r="F70" i="2"/>
  <c r="F119" i="2"/>
  <c r="F180" i="2"/>
  <c r="F103" i="2"/>
  <c r="F30" i="2"/>
  <c r="F98" i="2"/>
  <c r="F61" i="2"/>
  <c r="F9" i="2"/>
  <c r="F62" i="2"/>
  <c r="F58" i="2"/>
  <c r="F127" i="2"/>
  <c r="F109" i="2"/>
  <c r="F169" i="2"/>
  <c r="F118" i="2"/>
  <c r="F116" i="2"/>
  <c r="F163" i="2"/>
  <c r="F131" i="2"/>
  <c r="F111" i="2"/>
  <c r="F88" i="2"/>
  <c r="F99" i="2"/>
  <c r="F146" i="2"/>
  <c r="F144" i="2"/>
  <c r="F148" i="2"/>
  <c r="F171" i="2"/>
  <c r="F106" i="2"/>
  <c r="F15" i="2"/>
  <c r="F40" i="2"/>
  <c r="F6" i="2"/>
  <c r="F90" i="2"/>
  <c r="F5" i="2"/>
  <c r="F63" i="2"/>
  <c r="F33" i="2"/>
  <c r="F22" i="2"/>
  <c r="F25" i="2"/>
  <c r="F21" i="2"/>
  <c r="F64" i="2"/>
  <c r="F66" i="2"/>
  <c r="F136" i="2"/>
  <c r="F158" i="2"/>
  <c r="F32" i="2"/>
  <c r="F17" i="2"/>
  <c r="F178" i="2"/>
  <c r="F177" i="2"/>
  <c r="F42" i="2"/>
  <c r="F3" i="2"/>
  <c r="F43" i="2"/>
  <c r="F125" i="2"/>
  <c r="F7" i="2"/>
  <c r="F83" i="2"/>
  <c r="F164" i="2"/>
  <c r="F167" i="2"/>
  <c r="F8" i="2"/>
  <c r="F107" i="2"/>
  <c r="F75" i="2"/>
  <c r="F20" i="2"/>
  <c r="F71" i="2"/>
  <c r="F36" i="2"/>
  <c r="F51" i="2"/>
  <c r="F172" i="2"/>
  <c r="F173" i="2"/>
  <c r="F181" i="2"/>
  <c r="F183" i="2"/>
  <c r="F24" i="2"/>
  <c r="F29" i="2"/>
  <c r="F139" i="2"/>
  <c r="AZ7" i="2" l="1"/>
  <c r="AZ136" i="2"/>
  <c r="AZ99" i="2"/>
  <c r="AZ87" i="2"/>
  <c r="AT131" i="2"/>
  <c r="AR58" i="2"/>
  <c r="AP106" i="2"/>
  <c r="AN132" i="2"/>
  <c r="AL82" i="2"/>
  <c r="AJ95" i="2"/>
  <c r="AH106" i="2"/>
  <c r="AF118" i="2"/>
  <c r="AD94" i="2"/>
  <c r="AB34" i="2"/>
  <c r="U70" i="2"/>
  <c r="AL180" i="2"/>
  <c r="AR47" i="2"/>
  <c r="AF83" i="2"/>
  <c r="AH71" i="2"/>
  <c r="W107" i="2"/>
  <c r="AJ47" i="2"/>
  <c r="AZ143" i="2"/>
  <c r="AP168" i="2"/>
  <c r="AN83" i="2"/>
  <c r="AL132" i="2"/>
  <c r="AT168" i="2"/>
  <c r="AT59" i="2"/>
  <c r="AR118" i="2"/>
  <c r="AP167" i="2"/>
  <c r="AN180" i="2"/>
  <c r="AN82" i="2"/>
  <c r="AL131" i="2"/>
  <c r="AJ143" i="2"/>
  <c r="AJ34" i="2"/>
  <c r="AH35" i="2"/>
  <c r="AD179" i="2"/>
  <c r="AB155" i="2"/>
  <c r="W46" i="2"/>
  <c r="AJ132" i="2"/>
  <c r="AT47" i="2"/>
  <c r="AN59" i="2"/>
  <c r="AD132" i="2"/>
  <c r="AR180" i="2"/>
  <c r="AR132" i="2"/>
  <c r="AR35" i="2"/>
  <c r="AL168" i="2"/>
  <c r="AT107" i="2"/>
  <c r="AT30" i="2"/>
  <c r="AR83" i="2"/>
  <c r="AJ35" i="2"/>
  <c r="AH47" i="2"/>
  <c r="AR119" i="2"/>
  <c r="AH83" i="2"/>
  <c r="AD107" i="2"/>
  <c r="AT175" i="2"/>
  <c r="AR156" i="2"/>
  <c r="AR92" i="2"/>
  <c r="AP47" i="2"/>
  <c r="AP102" i="2"/>
  <c r="AT132" i="2"/>
  <c r="AP95" i="2"/>
  <c r="AH144" i="2"/>
  <c r="AN139" i="2"/>
  <c r="AL95" i="2"/>
  <c r="W156" i="2"/>
  <c r="AZ3" i="2"/>
  <c r="AT156" i="2"/>
  <c r="AR71" i="2"/>
  <c r="AJ71" i="2"/>
  <c r="AF168" i="2"/>
  <c r="AD163" i="2"/>
  <c r="W71" i="2"/>
  <c r="AN56" i="2"/>
  <c r="AL110" i="2"/>
  <c r="AR139" i="2"/>
  <c r="AP132" i="2"/>
  <c r="AN119" i="2"/>
  <c r="AL107" i="2"/>
  <c r="AJ59" i="2"/>
  <c r="AF180" i="2"/>
  <c r="AF47" i="2"/>
  <c r="AT114" i="2"/>
  <c r="AP30" i="2"/>
  <c r="AB139" i="2"/>
  <c r="AR175" i="2"/>
  <c r="AR95" i="2"/>
  <c r="AN144" i="2"/>
  <c r="AN80" i="2"/>
  <c r="AL71" i="2"/>
  <c r="AJ102" i="2"/>
  <c r="AH156" i="2"/>
  <c r="AF107" i="2"/>
  <c r="W59" i="2"/>
  <c r="AT147" i="2"/>
  <c r="AT80" i="2"/>
  <c r="AN78" i="2"/>
  <c r="AH54" i="2"/>
  <c r="AT71" i="2"/>
  <c r="AR168" i="2"/>
  <c r="AR59" i="2"/>
  <c r="AP156" i="2"/>
  <c r="AP83" i="2"/>
  <c r="AN102" i="2"/>
  <c r="AJ119" i="2"/>
  <c r="AH132" i="2"/>
  <c r="AH66" i="2"/>
  <c r="AF143" i="2"/>
  <c r="AD106" i="2"/>
  <c r="AB106" i="2"/>
  <c r="W106" i="2"/>
  <c r="U83" i="2"/>
  <c r="AT180" i="2"/>
  <c r="AT129" i="2"/>
  <c r="AR114" i="2"/>
  <c r="AN163" i="2"/>
  <c r="AN95" i="2"/>
  <c r="AN35" i="2"/>
  <c r="AL119" i="2"/>
  <c r="AL47" i="2"/>
  <c r="AJ56" i="2"/>
  <c r="AH59" i="2"/>
  <c r="AF42" i="2"/>
  <c r="AB95" i="2"/>
  <c r="AT119" i="2"/>
  <c r="AR165" i="2"/>
  <c r="AR107" i="2"/>
  <c r="AP144" i="2"/>
  <c r="AP78" i="2"/>
  <c r="AJ107" i="2"/>
  <c r="AJ54" i="2"/>
  <c r="AH119" i="2"/>
  <c r="AF35" i="2"/>
  <c r="AB83" i="2"/>
  <c r="AJ180" i="2"/>
  <c r="AH107" i="2"/>
  <c r="W66" i="2"/>
  <c r="AJ168" i="2"/>
  <c r="AH95" i="2"/>
  <c r="AD156" i="2"/>
  <c r="AD42" i="2"/>
  <c r="AT95" i="2"/>
  <c r="AR141" i="2"/>
  <c r="AR90" i="2"/>
  <c r="AP180" i="2"/>
  <c r="AP107" i="2"/>
  <c r="AP35" i="2"/>
  <c r="AN71" i="2"/>
  <c r="AL156" i="2"/>
  <c r="AJ167" i="2"/>
  <c r="AJ83" i="2"/>
  <c r="AH180" i="2"/>
  <c r="AF71" i="2"/>
  <c r="AD143" i="2"/>
  <c r="AD35" i="2"/>
  <c r="AP175" i="2"/>
  <c r="AL144" i="2"/>
  <c r="AF59" i="2"/>
  <c r="AT116" i="2"/>
  <c r="AT66" i="2"/>
  <c r="AL90" i="2"/>
  <c r="AD180" i="2"/>
  <c r="W102" i="2"/>
  <c r="AJ142" i="2"/>
  <c r="AT44" i="2"/>
  <c r="AR151" i="2"/>
  <c r="AN151" i="2"/>
  <c r="AL66" i="2"/>
  <c r="AH151" i="2"/>
  <c r="AF66" i="2"/>
  <c r="AT141" i="2"/>
  <c r="AT90" i="2"/>
  <c r="AR42" i="2"/>
  <c r="AN30" i="2"/>
  <c r="W180" i="2"/>
  <c r="AT178" i="2"/>
  <c r="AT78" i="2"/>
  <c r="AT32" i="2"/>
  <c r="AP151" i="2"/>
  <c r="AN66" i="2"/>
  <c r="AL163" i="2"/>
  <c r="AL30" i="2"/>
  <c r="AB54" i="2"/>
  <c r="U71" i="2"/>
  <c r="AT102" i="2"/>
  <c r="AR171" i="2"/>
  <c r="AP127" i="2"/>
  <c r="AP54" i="2"/>
  <c r="AN90" i="2"/>
  <c r="AF102" i="2"/>
  <c r="AB116" i="2"/>
  <c r="AT50" i="2"/>
  <c r="AR128" i="2"/>
  <c r="AR78" i="2"/>
  <c r="AJ151" i="2"/>
  <c r="AJ90" i="2"/>
  <c r="AF30" i="2"/>
  <c r="W144" i="2"/>
  <c r="W42" i="2"/>
  <c r="AT115" i="2"/>
  <c r="AN91" i="2"/>
  <c r="AL152" i="2"/>
  <c r="AJ128" i="2"/>
  <c r="AB131" i="2"/>
  <c r="AN43" i="2"/>
  <c r="AH154" i="2"/>
  <c r="AH152" i="2"/>
  <c r="AT103" i="2"/>
  <c r="AP152" i="2"/>
  <c r="AT182" i="2"/>
  <c r="W118" i="2"/>
  <c r="AJ152" i="2"/>
  <c r="AP79" i="2"/>
  <c r="AN176" i="2"/>
  <c r="AL115" i="2"/>
  <c r="AT91" i="2"/>
  <c r="AT55" i="2"/>
  <c r="AB55" i="2"/>
  <c r="AT86" i="2"/>
  <c r="AR123" i="2"/>
  <c r="AL44" i="2"/>
  <c r="AH179" i="2"/>
  <c r="AF103" i="2"/>
  <c r="U106" i="2"/>
  <c r="AT176" i="2"/>
  <c r="AT140" i="2"/>
  <c r="AT104" i="2"/>
  <c r="AT79" i="2"/>
  <c r="AT38" i="2"/>
  <c r="AR163" i="2"/>
  <c r="AN183" i="2"/>
  <c r="AN42" i="2"/>
  <c r="AL91" i="2"/>
  <c r="AL43" i="2"/>
  <c r="AJ43" i="2"/>
  <c r="AH78" i="2"/>
  <c r="U66" i="2"/>
  <c r="AT163" i="2"/>
  <c r="AT128" i="2"/>
  <c r="AR56" i="2"/>
  <c r="AP115" i="2"/>
  <c r="AP68" i="2"/>
  <c r="AL78" i="2"/>
  <c r="AJ67" i="2"/>
  <c r="AF139" i="2"/>
  <c r="AT159" i="2"/>
  <c r="AT92" i="2"/>
  <c r="AR54" i="2"/>
  <c r="AP163" i="2"/>
  <c r="AP114" i="2"/>
  <c r="AN164" i="2"/>
  <c r="AN116" i="2"/>
  <c r="AJ115" i="2"/>
  <c r="AJ66" i="2"/>
  <c r="AH163" i="2"/>
  <c r="AH115" i="2"/>
  <c r="AT164" i="2"/>
  <c r="AT139" i="2"/>
  <c r="AT54" i="2"/>
  <c r="AT31" i="2"/>
  <c r="AR164" i="2"/>
  <c r="AR127" i="2"/>
  <c r="AP66" i="2"/>
  <c r="AN55" i="2"/>
  <c r="AL164" i="2"/>
  <c r="AL116" i="2"/>
  <c r="AL79" i="2"/>
  <c r="AL42" i="2"/>
  <c r="AJ55" i="2"/>
  <c r="AH114" i="2"/>
  <c r="AD170" i="2"/>
  <c r="AD102" i="2"/>
  <c r="AB156" i="2"/>
  <c r="W119" i="2"/>
  <c r="W47" i="2"/>
  <c r="AN81" i="2"/>
  <c r="AD93" i="2"/>
  <c r="AR178" i="2"/>
  <c r="AR69" i="2"/>
  <c r="AD154" i="2"/>
  <c r="U154" i="2"/>
  <c r="AT152" i="2"/>
  <c r="AT127" i="2"/>
  <c r="AT43" i="2"/>
  <c r="AR177" i="2"/>
  <c r="AR68" i="2"/>
  <c r="AR31" i="2"/>
  <c r="AP90" i="2"/>
  <c r="AP45" i="2"/>
  <c r="AN114" i="2"/>
  <c r="AN73" i="2"/>
  <c r="AL151" i="2"/>
  <c r="AL102" i="2"/>
  <c r="AJ175" i="2"/>
  <c r="AJ42" i="2"/>
  <c r="AH90" i="2"/>
  <c r="AH42" i="2"/>
  <c r="AF114" i="2"/>
  <c r="AB127" i="2"/>
  <c r="AT151" i="2"/>
  <c r="AT123" i="2"/>
  <c r="AT68" i="2"/>
  <c r="AT42" i="2"/>
  <c r="AR176" i="2"/>
  <c r="AR66" i="2"/>
  <c r="AP42" i="2"/>
  <c r="AN153" i="2"/>
  <c r="AN31" i="2"/>
  <c r="AL54" i="2"/>
  <c r="AJ68" i="2"/>
  <c r="AH133" i="2"/>
  <c r="AD139" i="2"/>
  <c r="AD54" i="2"/>
  <c r="AB119" i="2"/>
  <c r="U132" i="2"/>
  <c r="AH33" i="2"/>
  <c r="AL45" i="2"/>
  <c r="AJ154" i="2"/>
  <c r="AB104" i="2"/>
  <c r="AT57" i="2"/>
  <c r="AT33" i="2"/>
  <c r="AZ35" i="2"/>
  <c r="AT177" i="2"/>
  <c r="AT153" i="2"/>
  <c r="AT130" i="2"/>
  <c r="AT105" i="2"/>
  <c r="AT56" i="2"/>
  <c r="AR142" i="2"/>
  <c r="AR117" i="2"/>
  <c r="AR86" i="2"/>
  <c r="AR57" i="2"/>
  <c r="AR30" i="2"/>
  <c r="AP154" i="2"/>
  <c r="AP117" i="2"/>
  <c r="AN175" i="2"/>
  <c r="AJ178" i="2"/>
  <c r="AJ139" i="2"/>
  <c r="AJ30" i="2"/>
  <c r="AF163" i="2"/>
  <c r="AF93" i="2"/>
  <c r="AF44" i="2"/>
  <c r="AD151" i="2"/>
  <c r="AD90" i="2"/>
  <c r="AB42" i="2"/>
  <c r="U144" i="2"/>
  <c r="U68" i="2"/>
  <c r="AR166" i="2"/>
  <c r="AP81" i="2"/>
  <c r="AN166" i="2"/>
  <c r="AN130" i="2"/>
  <c r="AN93" i="2"/>
  <c r="AD81" i="2"/>
  <c r="AR81" i="2"/>
  <c r="AP178" i="2"/>
  <c r="AH178" i="2"/>
  <c r="AD80" i="2"/>
  <c r="AR105" i="2"/>
  <c r="AP177" i="2"/>
  <c r="AJ166" i="2"/>
  <c r="AJ123" i="2"/>
  <c r="AH129" i="2"/>
  <c r="AF130" i="2"/>
  <c r="AB153" i="2"/>
  <c r="AT166" i="2"/>
  <c r="AR130" i="2"/>
  <c r="AR104" i="2"/>
  <c r="AP142" i="2"/>
  <c r="AP105" i="2"/>
  <c r="AL176" i="2"/>
  <c r="AL41" i="2"/>
  <c r="AJ163" i="2"/>
  <c r="AJ78" i="2"/>
  <c r="AH128" i="2"/>
  <c r="AH81" i="2"/>
  <c r="AF69" i="2"/>
  <c r="AD128" i="2"/>
  <c r="AD66" i="2"/>
  <c r="AB151" i="2"/>
  <c r="AB81" i="2"/>
  <c r="U117" i="2"/>
  <c r="AT165" i="2"/>
  <c r="AT142" i="2"/>
  <c r="AT93" i="2"/>
  <c r="AT69" i="2"/>
  <c r="AT45" i="2"/>
  <c r="AR129" i="2"/>
  <c r="AR102" i="2"/>
  <c r="AR45" i="2"/>
  <c r="AP141" i="2"/>
  <c r="AP104" i="2"/>
  <c r="AP69" i="2"/>
  <c r="AP33" i="2"/>
  <c r="AN154" i="2"/>
  <c r="AN117" i="2"/>
  <c r="AN54" i="2"/>
  <c r="AL175" i="2"/>
  <c r="AL139" i="2"/>
  <c r="AL103" i="2"/>
  <c r="AL69" i="2"/>
  <c r="AL38" i="2"/>
  <c r="AJ45" i="2"/>
  <c r="AH79" i="2"/>
  <c r="AF117" i="2"/>
  <c r="AF68" i="2"/>
  <c r="AD174" i="2"/>
  <c r="AD59" i="2"/>
  <c r="AB71" i="2"/>
  <c r="U107" i="2"/>
  <c r="AR154" i="2"/>
  <c r="AP166" i="2"/>
  <c r="AN45" i="2"/>
  <c r="AL33" i="2"/>
  <c r="U93" i="2"/>
  <c r="AR93" i="2"/>
  <c r="AP130" i="2"/>
  <c r="AL165" i="2"/>
  <c r="AL130" i="2"/>
  <c r="AL57" i="2"/>
  <c r="AJ38" i="2"/>
  <c r="AR33" i="2"/>
  <c r="AP93" i="2"/>
  <c r="AP57" i="2"/>
  <c r="AN105" i="2"/>
  <c r="AL129" i="2"/>
  <c r="AJ105" i="2"/>
  <c r="AH147" i="2"/>
  <c r="AT74" i="2"/>
  <c r="AR91" i="2"/>
  <c r="AP139" i="2"/>
  <c r="AP71" i="2"/>
  <c r="AP43" i="2"/>
  <c r="AN168" i="2"/>
  <c r="AN142" i="2"/>
  <c r="AN107" i="2"/>
  <c r="AN47" i="2"/>
  <c r="AL178" i="2"/>
  <c r="AL154" i="2"/>
  <c r="AL127" i="2"/>
  <c r="AL59" i="2"/>
  <c r="AL35" i="2"/>
  <c r="AJ156" i="2"/>
  <c r="AJ127" i="2"/>
  <c r="AJ93" i="2"/>
  <c r="AJ31" i="2"/>
  <c r="AH150" i="2"/>
  <c r="AF142" i="2"/>
  <c r="AF95" i="2"/>
  <c r="AD168" i="2"/>
  <c r="AD119" i="2"/>
  <c r="AB163" i="2"/>
  <c r="AB114" i="2"/>
  <c r="AB47" i="2"/>
  <c r="W114" i="2"/>
  <c r="W54" i="2"/>
  <c r="U119" i="2"/>
  <c r="U54" i="2"/>
  <c r="AR89" i="2"/>
  <c r="AR162" i="2"/>
  <c r="AH140" i="2"/>
  <c r="AF128" i="2"/>
  <c r="AT110" i="2"/>
  <c r="AT67" i="2"/>
  <c r="AR159" i="2"/>
  <c r="AR55" i="2"/>
  <c r="AP119" i="2"/>
  <c r="AP59" i="2"/>
  <c r="AP31" i="2"/>
  <c r="AN156" i="2"/>
  <c r="AN128" i="2"/>
  <c r="AN67" i="2"/>
  <c r="AN38" i="2"/>
  <c r="AL166" i="2"/>
  <c r="AL142" i="2"/>
  <c r="AL114" i="2"/>
  <c r="AL81" i="2"/>
  <c r="AJ144" i="2"/>
  <c r="AJ114" i="2"/>
  <c r="AJ74" i="2"/>
  <c r="AH168" i="2"/>
  <c r="AH139" i="2"/>
  <c r="AH102" i="2"/>
  <c r="AH30" i="2"/>
  <c r="AF78" i="2"/>
  <c r="AF38" i="2"/>
  <c r="AD152" i="2"/>
  <c r="AD95" i="2"/>
  <c r="AD55" i="2"/>
  <c r="AB144" i="2"/>
  <c r="W175" i="2"/>
  <c r="W90" i="2"/>
  <c r="U180" i="2"/>
  <c r="U95" i="2"/>
  <c r="AH98" i="2"/>
  <c r="U156" i="2"/>
  <c r="AR53" i="2"/>
  <c r="AL138" i="2"/>
  <c r="AR126" i="2"/>
  <c r="AL162" i="2"/>
  <c r="AH91" i="2"/>
  <c r="AH55" i="2"/>
  <c r="AF162" i="2"/>
  <c r="U53" i="2"/>
  <c r="AP174" i="2"/>
  <c r="AP138" i="2"/>
  <c r="AP101" i="2"/>
  <c r="AP65" i="2"/>
  <c r="AN77" i="2"/>
  <c r="AB65" i="2"/>
  <c r="U174" i="2"/>
  <c r="AR140" i="2"/>
  <c r="AR103" i="2"/>
  <c r="AR67" i="2"/>
  <c r="AR49" i="2"/>
  <c r="AR32" i="2"/>
  <c r="AP171" i="2"/>
  <c r="AP153" i="2"/>
  <c r="AP135" i="2"/>
  <c r="AP116" i="2"/>
  <c r="AP98" i="2"/>
  <c r="AP80" i="2"/>
  <c r="AP62" i="2"/>
  <c r="AP44" i="2"/>
  <c r="AP29" i="2"/>
  <c r="AN165" i="2"/>
  <c r="AN147" i="2"/>
  <c r="AN129" i="2"/>
  <c r="AN110" i="2"/>
  <c r="AN92" i="2"/>
  <c r="AN74" i="2"/>
  <c r="AN57" i="2"/>
  <c r="AN41" i="2"/>
  <c r="AL177" i="2"/>
  <c r="AL93" i="2"/>
  <c r="AL77" i="2"/>
  <c r="AL56" i="2"/>
  <c r="AJ126" i="2"/>
  <c r="AJ103" i="2"/>
  <c r="AJ79" i="2"/>
  <c r="AJ57" i="2"/>
  <c r="AJ41" i="2"/>
  <c r="AH175" i="2"/>
  <c r="AH127" i="2"/>
  <c r="AF151" i="2"/>
  <c r="AF116" i="2"/>
  <c r="AF90" i="2"/>
  <c r="AF67" i="2"/>
  <c r="AF41" i="2"/>
  <c r="AB152" i="2"/>
  <c r="AB113" i="2"/>
  <c r="AB62" i="2"/>
  <c r="W162" i="2"/>
  <c r="U30" i="2"/>
  <c r="AN150" i="2"/>
  <c r="AT126" i="2"/>
  <c r="AT89" i="2"/>
  <c r="AT53" i="2"/>
  <c r="AR174" i="2"/>
  <c r="AH174" i="2"/>
  <c r="AH126" i="2"/>
  <c r="AH101" i="2"/>
  <c r="AH77" i="2"/>
  <c r="AH53" i="2"/>
  <c r="AH29" i="2"/>
  <c r="AF89" i="2"/>
  <c r="AR101" i="2"/>
  <c r="AL53" i="2"/>
  <c r="AF113" i="2"/>
  <c r="AD41" i="2"/>
  <c r="AR170" i="2"/>
  <c r="AR153" i="2"/>
  <c r="AR135" i="2"/>
  <c r="AR116" i="2"/>
  <c r="AR98" i="2"/>
  <c r="AR80" i="2"/>
  <c r="AR62" i="2"/>
  <c r="AR29" i="2"/>
  <c r="AP150" i="2"/>
  <c r="AP113" i="2"/>
  <c r="AP77" i="2"/>
  <c r="AP41" i="2"/>
  <c r="AN162" i="2"/>
  <c r="AN126" i="2"/>
  <c r="AN89" i="2"/>
  <c r="AL171" i="2"/>
  <c r="AL128" i="2"/>
  <c r="AL89" i="2"/>
  <c r="AL50" i="2"/>
  <c r="AL31" i="2"/>
  <c r="AJ140" i="2"/>
  <c r="AJ98" i="2"/>
  <c r="AH164" i="2"/>
  <c r="AF140" i="2"/>
  <c r="AF33" i="2"/>
  <c r="AD162" i="2"/>
  <c r="AD79" i="2"/>
  <c r="AB101" i="2"/>
  <c r="AN113" i="2"/>
  <c r="AB150" i="2"/>
  <c r="AR152" i="2"/>
  <c r="AR115" i="2"/>
  <c r="AR79" i="2"/>
  <c r="AR44" i="2"/>
  <c r="AP183" i="2"/>
  <c r="AP165" i="2"/>
  <c r="AP147" i="2"/>
  <c r="AP129" i="2"/>
  <c r="AP110" i="2"/>
  <c r="AP92" i="2"/>
  <c r="AP74" i="2"/>
  <c r="AP56" i="2"/>
  <c r="AP38" i="2"/>
  <c r="AN178" i="2"/>
  <c r="AN159" i="2"/>
  <c r="AN141" i="2"/>
  <c r="AN123" i="2"/>
  <c r="AN104" i="2"/>
  <c r="AN86" i="2"/>
  <c r="AN69" i="2"/>
  <c r="AN53" i="2"/>
  <c r="AN33" i="2"/>
  <c r="AL150" i="2"/>
  <c r="AL105" i="2"/>
  <c r="AL86" i="2"/>
  <c r="AL68" i="2"/>
  <c r="AJ162" i="2"/>
  <c r="AJ117" i="2"/>
  <c r="AJ53" i="2"/>
  <c r="AJ33" i="2"/>
  <c r="AH138" i="2"/>
  <c r="AH117" i="2"/>
  <c r="AH69" i="2"/>
  <c r="AH45" i="2"/>
  <c r="AF177" i="2"/>
  <c r="AF105" i="2"/>
  <c r="AF81" i="2"/>
  <c r="AF57" i="2"/>
  <c r="AF31" i="2"/>
  <c r="AD159" i="2"/>
  <c r="AD113" i="2"/>
  <c r="AB53" i="2"/>
  <c r="W89" i="2"/>
  <c r="W45" i="2"/>
  <c r="U138" i="2"/>
  <c r="U78" i="2"/>
  <c r="AJ174" i="2"/>
  <c r="AR138" i="2"/>
  <c r="AR65" i="2"/>
  <c r="AJ101" i="2"/>
  <c r="AT174" i="2"/>
  <c r="AT154" i="2"/>
  <c r="AT138" i="2"/>
  <c r="AT117" i="2"/>
  <c r="AT101" i="2"/>
  <c r="AT81" i="2"/>
  <c r="AT65" i="2"/>
  <c r="AT29" i="2"/>
  <c r="AR43" i="2"/>
  <c r="AP164" i="2"/>
  <c r="AP128" i="2"/>
  <c r="AP91" i="2"/>
  <c r="AP55" i="2"/>
  <c r="AP37" i="2"/>
  <c r="AN177" i="2"/>
  <c r="AN140" i="2"/>
  <c r="AN103" i="2"/>
  <c r="AN68" i="2"/>
  <c r="AN50" i="2"/>
  <c r="AN32" i="2"/>
  <c r="AL147" i="2"/>
  <c r="AL126" i="2"/>
  <c r="AL104" i="2"/>
  <c r="AL85" i="2"/>
  <c r="AL67" i="2"/>
  <c r="AJ183" i="2"/>
  <c r="AJ159" i="2"/>
  <c r="AJ138" i="2"/>
  <c r="AJ116" i="2"/>
  <c r="AJ69" i="2"/>
  <c r="AJ50" i="2"/>
  <c r="AJ32" i="2"/>
  <c r="AH135" i="2"/>
  <c r="AH116" i="2"/>
  <c r="AH92" i="2"/>
  <c r="AH67" i="2"/>
  <c r="AH43" i="2"/>
  <c r="AF175" i="2"/>
  <c r="AF104" i="2"/>
  <c r="AF80" i="2"/>
  <c r="AF55" i="2"/>
  <c r="AD30" i="2"/>
  <c r="AB142" i="2"/>
  <c r="AB50" i="2"/>
  <c r="W139" i="2"/>
  <c r="W86" i="2"/>
  <c r="W43" i="2"/>
  <c r="AT171" i="2"/>
  <c r="AT135" i="2"/>
  <c r="AT98" i="2"/>
  <c r="AT62" i="2"/>
  <c r="AR183" i="2"/>
  <c r="AR150" i="2"/>
  <c r="AR113" i="2"/>
  <c r="AR77" i="2"/>
  <c r="AL123" i="2"/>
  <c r="AJ135" i="2"/>
  <c r="AF171" i="2"/>
  <c r="AF53" i="2"/>
  <c r="AF29" i="2"/>
  <c r="W138" i="2"/>
  <c r="AR147" i="2"/>
  <c r="AR110" i="2"/>
  <c r="AR74" i="2"/>
  <c r="AR41" i="2"/>
  <c r="AP162" i="2"/>
  <c r="AP126" i="2"/>
  <c r="AP89" i="2"/>
  <c r="AP53" i="2"/>
  <c r="AN138" i="2"/>
  <c r="AN101" i="2"/>
  <c r="AL65" i="2"/>
  <c r="AH65" i="2"/>
  <c r="AH41" i="2"/>
  <c r="AF77" i="2"/>
  <c r="AD65" i="2"/>
  <c r="W41" i="2"/>
  <c r="U126" i="2"/>
  <c r="AT162" i="2"/>
  <c r="AR38" i="2"/>
  <c r="AP159" i="2"/>
  <c r="AP123" i="2"/>
  <c r="AP86" i="2"/>
  <c r="AP50" i="2"/>
  <c r="AN174" i="2"/>
  <c r="AN135" i="2"/>
  <c r="AN98" i="2"/>
  <c r="AN65" i="2"/>
  <c r="AN29" i="2"/>
  <c r="AL101" i="2"/>
  <c r="AL62" i="2"/>
  <c r="AJ113" i="2"/>
  <c r="AJ89" i="2"/>
  <c r="AJ29" i="2"/>
  <c r="AH113" i="2"/>
  <c r="AH62" i="2"/>
  <c r="AH38" i="2"/>
  <c r="AF126" i="2"/>
  <c r="AF101" i="2"/>
  <c r="AB162" i="2"/>
  <c r="AB74" i="2"/>
  <c r="AT183" i="2"/>
  <c r="AT150" i="2"/>
  <c r="AT113" i="2"/>
  <c r="AT77" i="2"/>
  <c r="AT41" i="2"/>
  <c r="AP176" i="2"/>
  <c r="AP140" i="2"/>
  <c r="AP103" i="2"/>
  <c r="AP67" i="2"/>
  <c r="AP32" i="2"/>
  <c r="AN152" i="2"/>
  <c r="AN115" i="2"/>
  <c r="AN79" i="2"/>
  <c r="AN62" i="2"/>
  <c r="AN44" i="2"/>
  <c r="AL117" i="2"/>
  <c r="AL98" i="2"/>
  <c r="AL80" i="2"/>
  <c r="AJ176" i="2"/>
  <c r="AJ153" i="2"/>
  <c r="AJ130" i="2"/>
  <c r="AJ86" i="2"/>
  <c r="AJ65" i="2"/>
  <c r="AJ44" i="2"/>
  <c r="AH130" i="2"/>
  <c r="AH110" i="2"/>
  <c r="AF165" i="2"/>
  <c r="AF45" i="2"/>
  <c r="AD176" i="2"/>
  <c r="W117" i="2"/>
  <c r="W67" i="2"/>
  <c r="W33" i="2"/>
  <c r="U57" i="2"/>
  <c r="AR48" i="2"/>
  <c r="AP48" i="2"/>
  <c r="AL92" i="2"/>
  <c r="AJ81" i="2"/>
  <c r="AJ62" i="2"/>
  <c r="AH142" i="2"/>
  <c r="AH105" i="2"/>
  <c r="AF154" i="2"/>
  <c r="AF123" i="2"/>
  <c r="AF74" i="2"/>
  <c r="AD165" i="2"/>
  <c r="AD105" i="2"/>
  <c r="AD44" i="2"/>
  <c r="AB129" i="2"/>
  <c r="AB92" i="2"/>
  <c r="W183" i="2"/>
  <c r="W92" i="2"/>
  <c r="W57" i="2"/>
  <c r="U43" i="2"/>
  <c r="AT169" i="2"/>
  <c r="AJ80" i="2"/>
  <c r="AJ60" i="2"/>
  <c r="AH123" i="2"/>
  <c r="AH104" i="2"/>
  <c r="AF153" i="2"/>
  <c r="AF50" i="2"/>
  <c r="AD69" i="2"/>
  <c r="W130" i="2"/>
  <c r="U166" i="2"/>
  <c r="U123" i="2"/>
  <c r="U80" i="2"/>
  <c r="U33" i="2"/>
  <c r="AP169" i="2"/>
  <c r="AL72" i="2"/>
  <c r="AJ177" i="2"/>
  <c r="AH183" i="2"/>
  <c r="AH80" i="2"/>
  <c r="AH44" i="2"/>
  <c r="AD130" i="2"/>
  <c r="AD96" i="2"/>
  <c r="AD68" i="2"/>
  <c r="AB123" i="2"/>
  <c r="AP60" i="2"/>
  <c r="AJ133" i="2"/>
  <c r="AD181" i="2"/>
  <c r="AD36" i="2"/>
  <c r="W169" i="2"/>
  <c r="AT181" i="2"/>
  <c r="AR181" i="2"/>
  <c r="AN60" i="2"/>
  <c r="AH60" i="2"/>
  <c r="AB48" i="2"/>
  <c r="AT145" i="2"/>
  <c r="AN181" i="2"/>
  <c r="AL84" i="2"/>
  <c r="AJ146" i="2"/>
  <c r="AJ92" i="2"/>
  <c r="AH177" i="2"/>
  <c r="AH74" i="2"/>
  <c r="AD178" i="2"/>
  <c r="AD153" i="2"/>
  <c r="AD117" i="2"/>
  <c r="AD33" i="2"/>
  <c r="W110" i="2"/>
  <c r="U142" i="2"/>
  <c r="AT36" i="2"/>
  <c r="AN72" i="2"/>
  <c r="AL159" i="2"/>
  <c r="AL141" i="2"/>
  <c r="AL48" i="2"/>
  <c r="AL32" i="2"/>
  <c r="AJ110" i="2"/>
  <c r="AH93" i="2"/>
  <c r="AH72" i="2"/>
  <c r="AH57" i="2"/>
  <c r="AF135" i="2"/>
  <c r="AF62" i="2"/>
  <c r="AD116" i="2"/>
  <c r="AD57" i="2"/>
  <c r="AD32" i="2"/>
  <c r="AB69" i="2"/>
  <c r="AB45" i="2"/>
  <c r="W151" i="2"/>
  <c r="W69" i="2"/>
  <c r="U105" i="2"/>
  <c r="U62" i="2"/>
  <c r="AR36" i="2"/>
  <c r="AN36" i="2"/>
  <c r="AH145" i="2"/>
  <c r="AD108" i="2"/>
  <c r="AR157" i="2"/>
  <c r="AJ141" i="2"/>
  <c r="AJ48" i="2"/>
  <c r="AH166" i="2"/>
  <c r="AH32" i="2"/>
  <c r="AD141" i="2"/>
  <c r="AB165" i="2"/>
  <c r="AB98" i="2"/>
  <c r="W142" i="2"/>
  <c r="W32" i="2"/>
  <c r="U130" i="2"/>
  <c r="U92" i="2"/>
  <c r="AL153" i="2"/>
  <c r="AL61" i="2"/>
  <c r="AJ121" i="2"/>
  <c r="AH165" i="2"/>
  <c r="AH68" i="2"/>
  <c r="AF157" i="2"/>
  <c r="AF32" i="2"/>
  <c r="AD45" i="2"/>
  <c r="AB32" i="2"/>
  <c r="W93" i="2"/>
  <c r="U129" i="2"/>
  <c r="U86" i="2"/>
  <c r="AL183" i="2"/>
  <c r="AL74" i="2"/>
  <c r="AH167" i="2"/>
  <c r="AF178" i="2"/>
  <c r="AF155" i="2"/>
  <c r="AF129" i="2"/>
  <c r="AF86" i="2"/>
  <c r="AD183" i="2"/>
  <c r="AD166" i="2"/>
  <c r="AD114" i="2"/>
  <c r="AD92" i="2"/>
  <c r="AB105" i="2"/>
  <c r="AB78" i="2"/>
  <c r="AB30" i="2"/>
  <c r="W115" i="2"/>
  <c r="W91" i="2"/>
  <c r="W62" i="2"/>
  <c r="W38" i="2"/>
  <c r="U94" i="2"/>
  <c r="U38" i="2"/>
  <c r="AR64" i="2"/>
  <c r="AN88" i="2"/>
  <c r="W171" i="2"/>
  <c r="U183" i="2"/>
  <c r="AT76" i="2"/>
  <c r="AP100" i="2"/>
  <c r="AJ171" i="2"/>
  <c r="AH159" i="2"/>
  <c r="AH86" i="2"/>
  <c r="AB179" i="2"/>
  <c r="AB68" i="2"/>
  <c r="W135" i="2"/>
  <c r="W81" i="2"/>
  <c r="W50" i="2"/>
  <c r="U140" i="2"/>
  <c r="U56" i="2"/>
  <c r="AR112" i="2"/>
  <c r="AN171" i="2"/>
  <c r="AN137" i="2"/>
  <c r="AL135" i="2"/>
  <c r="AJ147" i="2"/>
  <c r="AH158" i="2"/>
  <c r="AH141" i="2"/>
  <c r="AH50" i="2"/>
  <c r="AF166" i="2"/>
  <c r="AF141" i="2"/>
  <c r="AF98" i="2"/>
  <c r="AF56" i="2"/>
  <c r="AF34" i="2"/>
  <c r="AD175" i="2"/>
  <c r="AD155" i="2"/>
  <c r="AD129" i="2"/>
  <c r="AD104" i="2"/>
  <c r="AD46" i="2"/>
  <c r="AB175" i="2"/>
  <c r="AB44" i="2"/>
  <c r="W163" i="2"/>
  <c r="W104" i="2"/>
  <c r="W74" i="2"/>
  <c r="U178" i="2"/>
  <c r="U110" i="2"/>
  <c r="U55" i="2"/>
  <c r="U135" i="2"/>
  <c r="AT125" i="2"/>
  <c r="AP149" i="2"/>
  <c r="AD171" i="2"/>
  <c r="AB86" i="2"/>
  <c r="AB38" i="2"/>
  <c r="W159" i="2"/>
  <c r="W123" i="2"/>
  <c r="W98" i="2"/>
  <c r="U171" i="2"/>
  <c r="AF183" i="2"/>
  <c r="U74" i="2"/>
  <c r="U50" i="2"/>
  <c r="AH171" i="2"/>
  <c r="AF159" i="2"/>
  <c r="AF110" i="2"/>
  <c r="AB135" i="2"/>
  <c r="AB110" i="2"/>
  <c r="U98" i="2"/>
  <c r="AL76" i="2"/>
  <c r="AB161" i="2"/>
  <c r="U159" i="2"/>
  <c r="AR173" i="2"/>
  <c r="AP40" i="2"/>
  <c r="AL137" i="2"/>
  <c r="AL88" i="2"/>
  <c r="AD88" i="2"/>
  <c r="AD28" i="2"/>
  <c r="U112" i="2"/>
  <c r="U28" i="2"/>
  <c r="AR61" i="2"/>
  <c r="AN85" i="2"/>
  <c r="AJ165" i="2"/>
  <c r="AJ129" i="2"/>
  <c r="AJ73" i="2"/>
  <c r="AH56" i="2"/>
  <c r="AF176" i="2"/>
  <c r="AF132" i="2"/>
  <c r="AF115" i="2"/>
  <c r="AF97" i="2"/>
  <c r="AF43" i="2"/>
  <c r="AD182" i="2"/>
  <c r="AD144" i="2"/>
  <c r="AD127" i="2"/>
  <c r="AD83" i="2"/>
  <c r="AB181" i="2"/>
  <c r="AB132" i="2"/>
  <c r="AB90" i="2"/>
  <c r="W179" i="2"/>
  <c r="W150" i="2"/>
  <c r="W88" i="2"/>
  <c r="W64" i="2"/>
  <c r="W44" i="2"/>
  <c r="AT40" i="2"/>
  <c r="AP64" i="2"/>
  <c r="AH85" i="2"/>
  <c r="AD122" i="2"/>
  <c r="AB177" i="2"/>
  <c r="U128" i="2"/>
  <c r="U88" i="2"/>
  <c r="AT149" i="2"/>
  <c r="AP173" i="2"/>
  <c r="AN40" i="2"/>
  <c r="AL149" i="2"/>
  <c r="AL97" i="2"/>
  <c r="AL40" i="2"/>
  <c r="AF170" i="2"/>
  <c r="W100" i="2"/>
  <c r="U173" i="2"/>
  <c r="U64" i="2"/>
  <c r="W120" i="2"/>
  <c r="AT88" i="2"/>
  <c r="AR76" i="2"/>
  <c r="AP52" i="2"/>
  <c r="AD125" i="2"/>
  <c r="U149" i="2"/>
  <c r="AT100" i="2"/>
  <c r="AT52" i="2"/>
  <c r="AT37" i="2"/>
  <c r="AR137" i="2"/>
  <c r="AR88" i="2"/>
  <c r="AP125" i="2"/>
  <c r="AP76" i="2"/>
  <c r="AP61" i="2"/>
  <c r="AN161" i="2"/>
  <c r="AN112" i="2"/>
  <c r="AL112" i="2"/>
  <c r="AD100" i="2"/>
  <c r="AD40" i="2"/>
  <c r="AB173" i="2"/>
  <c r="AB103" i="2"/>
  <c r="W168" i="2"/>
  <c r="W141" i="2"/>
  <c r="W80" i="2"/>
  <c r="W40" i="2"/>
  <c r="U125" i="2"/>
  <c r="U104" i="2"/>
  <c r="AT161" i="2"/>
  <c r="AR28" i="2"/>
  <c r="AN52" i="2"/>
  <c r="AL52" i="2"/>
  <c r="AH153" i="2"/>
  <c r="AF127" i="2"/>
  <c r="AF91" i="2"/>
  <c r="AD177" i="2"/>
  <c r="AD138" i="2"/>
  <c r="AD78" i="2"/>
  <c r="AD56" i="2"/>
  <c r="AB168" i="2"/>
  <c r="AB145" i="2"/>
  <c r="AB102" i="2"/>
  <c r="AB56" i="2"/>
  <c r="AB35" i="2"/>
  <c r="W167" i="2"/>
  <c r="W140" i="2"/>
  <c r="W76" i="2"/>
  <c r="U141" i="2"/>
  <c r="U41" i="2"/>
  <c r="AL28" i="2"/>
  <c r="AP161" i="2"/>
  <c r="AT49" i="2"/>
  <c r="AP73" i="2"/>
  <c r="AL161" i="2"/>
  <c r="AD137" i="2"/>
  <c r="AD76" i="2"/>
  <c r="U100" i="2"/>
  <c r="AR125" i="2"/>
  <c r="AD64" i="2"/>
  <c r="W125" i="2"/>
  <c r="AT173" i="2"/>
  <c r="AT158" i="2"/>
  <c r="AT112" i="2"/>
  <c r="AT64" i="2"/>
  <c r="AR149" i="2"/>
  <c r="AR100" i="2"/>
  <c r="AR40" i="2"/>
  <c r="AP182" i="2"/>
  <c r="AP137" i="2"/>
  <c r="AP88" i="2"/>
  <c r="AN173" i="2"/>
  <c r="AN125" i="2"/>
  <c r="AN64" i="2"/>
  <c r="AN49" i="2"/>
  <c r="W52" i="2"/>
  <c r="U37" i="2"/>
  <c r="AT137" i="2"/>
  <c r="AN100" i="2"/>
  <c r="AN28" i="2"/>
  <c r="AL100" i="2"/>
  <c r="AR52" i="2"/>
  <c r="AN76" i="2"/>
  <c r="AL125" i="2"/>
  <c r="AL64" i="2"/>
  <c r="AD52" i="2"/>
  <c r="W137" i="2"/>
  <c r="W112" i="2"/>
  <c r="U161" i="2"/>
  <c r="U137" i="2"/>
  <c r="U76" i="2"/>
  <c r="AT28" i="2"/>
  <c r="AP112" i="2"/>
  <c r="AN149" i="2"/>
  <c r="AR161" i="2"/>
  <c r="AP28" i="2"/>
  <c r="AL173" i="2"/>
  <c r="AF85" i="2"/>
  <c r="AD112" i="2"/>
  <c r="AD49" i="2"/>
  <c r="W28" i="2"/>
  <c r="U116" i="2"/>
  <c r="AT146" i="2"/>
  <c r="AT133" i="2"/>
  <c r="AR158" i="2"/>
  <c r="AR145" i="2"/>
  <c r="AP170" i="2"/>
  <c r="AP157" i="2"/>
  <c r="AN182" i="2"/>
  <c r="AN169" i="2"/>
  <c r="AN37" i="2"/>
  <c r="AL181" i="2"/>
  <c r="AL49" i="2"/>
  <c r="AL36" i="2"/>
  <c r="AJ122" i="2"/>
  <c r="AJ49" i="2"/>
  <c r="AH134" i="2"/>
  <c r="AH61" i="2"/>
  <c r="AF145" i="2"/>
  <c r="AF72" i="2"/>
  <c r="AD157" i="2"/>
  <c r="AD97" i="2"/>
  <c r="AB182" i="2"/>
  <c r="AB133" i="2"/>
  <c r="AB84" i="2"/>
  <c r="AB36" i="2"/>
  <c r="W176" i="2"/>
  <c r="W103" i="2"/>
  <c r="W55" i="2"/>
  <c r="U115" i="2"/>
  <c r="U103" i="2"/>
  <c r="U91" i="2"/>
  <c r="U79" i="2"/>
  <c r="U67" i="2"/>
  <c r="U29" i="2"/>
  <c r="AT170" i="2"/>
  <c r="AT157" i="2"/>
  <c r="AR182" i="2"/>
  <c r="AR169" i="2"/>
  <c r="AR37" i="2"/>
  <c r="AP181" i="2"/>
  <c r="AP49" i="2"/>
  <c r="AP36" i="2"/>
  <c r="AN61" i="2"/>
  <c r="AN48" i="2"/>
  <c r="AL140" i="2"/>
  <c r="AL113" i="2"/>
  <c r="AL73" i="2"/>
  <c r="AL60" i="2"/>
  <c r="AJ164" i="2"/>
  <c r="AJ150" i="2"/>
  <c r="AJ134" i="2"/>
  <c r="AJ91" i="2"/>
  <c r="AJ77" i="2"/>
  <c r="AJ61" i="2"/>
  <c r="AH176" i="2"/>
  <c r="AH162" i="2"/>
  <c r="AH146" i="2"/>
  <c r="AH103" i="2"/>
  <c r="AH89" i="2"/>
  <c r="AH73" i="2"/>
  <c r="AH31" i="2"/>
  <c r="AF174" i="2"/>
  <c r="AF158" i="2"/>
  <c r="AF84" i="2"/>
  <c r="AD169" i="2"/>
  <c r="AD140" i="2"/>
  <c r="AD126" i="2"/>
  <c r="AD109" i="2"/>
  <c r="AD67" i="2"/>
  <c r="AD53" i="2"/>
  <c r="AD37" i="2"/>
  <c r="AB164" i="2"/>
  <c r="AB149" i="2"/>
  <c r="AB115" i="2"/>
  <c r="W174" i="2"/>
  <c r="W152" i="2"/>
  <c r="W101" i="2"/>
  <c r="W35" i="2"/>
  <c r="U127" i="2"/>
  <c r="U113" i="2"/>
  <c r="U101" i="2"/>
  <c r="U89" i="2"/>
  <c r="U77" i="2"/>
  <c r="U65" i="2"/>
  <c r="U52" i="2"/>
  <c r="U40" i="2"/>
  <c r="AB96" i="2"/>
  <c r="U87" i="2"/>
  <c r="AT61" i="2"/>
  <c r="AT48" i="2"/>
  <c r="AR73" i="2"/>
  <c r="AR60" i="2"/>
  <c r="AP85" i="2"/>
  <c r="AP72" i="2"/>
  <c r="AN97" i="2"/>
  <c r="AN84" i="2"/>
  <c r="AL109" i="2"/>
  <c r="AL96" i="2"/>
  <c r="AJ145" i="2"/>
  <c r="AJ72" i="2"/>
  <c r="AH157" i="2"/>
  <c r="AH84" i="2"/>
  <c r="AF169" i="2"/>
  <c r="AF109" i="2"/>
  <c r="AF37" i="2"/>
  <c r="AD121" i="2"/>
  <c r="AD48" i="2"/>
  <c r="AB176" i="2"/>
  <c r="AB128" i="2"/>
  <c r="AB79" i="2"/>
  <c r="AB31" i="2"/>
  <c r="W65" i="2"/>
  <c r="U150" i="2"/>
  <c r="U61" i="2"/>
  <c r="U49" i="2"/>
  <c r="U36" i="2"/>
  <c r="AT73" i="2"/>
  <c r="AT60" i="2"/>
  <c r="AR85" i="2"/>
  <c r="AR72" i="2"/>
  <c r="AP97" i="2"/>
  <c r="AP84" i="2"/>
  <c r="AN109" i="2"/>
  <c r="AN96" i="2"/>
  <c r="AL122" i="2"/>
  <c r="AL108" i="2"/>
  <c r="AJ158" i="2"/>
  <c r="AJ85" i="2"/>
  <c r="AH170" i="2"/>
  <c r="AH97" i="2"/>
  <c r="AF182" i="2"/>
  <c r="AF108" i="2"/>
  <c r="AF36" i="2"/>
  <c r="AD134" i="2"/>
  <c r="AD91" i="2"/>
  <c r="AD77" i="2"/>
  <c r="AD61" i="2"/>
  <c r="AB158" i="2"/>
  <c r="AB108" i="2"/>
  <c r="AB60" i="2"/>
  <c r="W79" i="2"/>
  <c r="W31" i="2"/>
  <c r="U122" i="2"/>
  <c r="U109" i="2"/>
  <c r="U97" i="2"/>
  <c r="U85" i="2"/>
  <c r="U73" i="2"/>
  <c r="U60" i="2"/>
  <c r="U48" i="2"/>
  <c r="AT85" i="2"/>
  <c r="AT72" i="2"/>
  <c r="AR97" i="2"/>
  <c r="AR84" i="2"/>
  <c r="AP109" i="2"/>
  <c r="AP96" i="2"/>
  <c r="AN122" i="2"/>
  <c r="AN108" i="2"/>
  <c r="AL174" i="2"/>
  <c r="AL134" i="2"/>
  <c r="AL121" i="2"/>
  <c r="AL29" i="2"/>
  <c r="AJ157" i="2"/>
  <c r="AJ84" i="2"/>
  <c r="AH169" i="2"/>
  <c r="AH96" i="2"/>
  <c r="AF181" i="2"/>
  <c r="AF138" i="2"/>
  <c r="AF122" i="2"/>
  <c r="AF49" i="2"/>
  <c r="AD164" i="2"/>
  <c r="AD150" i="2"/>
  <c r="AD133" i="2"/>
  <c r="AD60" i="2"/>
  <c r="AB157" i="2"/>
  <c r="AB126" i="2"/>
  <c r="AB77" i="2"/>
  <c r="AB59" i="2"/>
  <c r="AB29" i="2"/>
  <c r="W164" i="2"/>
  <c r="U146" i="2"/>
  <c r="U134" i="2"/>
  <c r="U121" i="2"/>
  <c r="U108" i="2"/>
  <c r="U96" i="2"/>
  <c r="U84" i="2"/>
  <c r="U72" i="2"/>
  <c r="AF96" i="2"/>
  <c r="AT97" i="2"/>
  <c r="AT84" i="2"/>
  <c r="AR109" i="2"/>
  <c r="AR96" i="2"/>
  <c r="AP122" i="2"/>
  <c r="AP108" i="2"/>
  <c r="AN134" i="2"/>
  <c r="AN121" i="2"/>
  <c r="AL146" i="2"/>
  <c r="AL133" i="2"/>
  <c r="AJ170" i="2"/>
  <c r="AJ97" i="2"/>
  <c r="AH182" i="2"/>
  <c r="AH109" i="2"/>
  <c r="AH37" i="2"/>
  <c r="AF152" i="2"/>
  <c r="AF121" i="2"/>
  <c r="AF48" i="2"/>
  <c r="AD146" i="2"/>
  <c r="AD89" i="2"/>
  <c r="AD73" i="2"/>
  <c r="AD31" i="2"/>
  <c r="AB43" i="2"/>
  <c r="W29" i="2"/>
  <c r="U145" i="2"/>
  <c r="U133" i="2"/>
  <c r="AT109" i="2"/>
  <c r="AT96" i="2"/>
  <c r="AR122" i="2"/>
  <c r="AR108" i="2"/>
  <c r="AP134" i="2"/>
  <c r="AP121" i="2"/>
  <c r="AN146" i="2"/>
  <c r="AN133" i="2"/>
  <c r="AL158" i="2"/>
  <c r="AL145" i="2"/>
  <c r="AJ169" i="2"/>
  <c r="AJ96" i="2"/>
  <c r="AH181" i="2"/>
  <c r="AH108" i="2"/>
  <c r="AH36" i="2"/>
  <c r="AF134" i="2"/>
  <c r="AF61" i="2"/>
  <c r="AD145" i="2"/>
  <c r="AD72" i="2"/>
  <c r="AB170" i="2"/>
  <c r="AB121" i="2"/>
  <c r="AB72" i="2"/>
  <c r="W181" i="2"/>
  <c r="AT122" i="2"/>
  <c r="AT108" i="2"/>
  <c r="AR134" i="2"/>
  <c r="AR121" i="2"/>
  <c r="AP146" i="2"/>
  <c r="AP133" i="2"/>
  <c r="AN158" i="2"/>
  <c r="AN145" i="2"/>
  <c r="AL170" i="2"/>
  <c r="AL157" i="2"/>
  <c r="AJ182" i="2"/>
  <c r="AJ109" i="2"/>
  <c r="AJ37" i="2"/>
  <c r="AH122" i="2"/>
  <c r="AH49" i="2"/>
  <c r="AF164" i="2"/>
  <c r="AF133" i="2"/>
  <c r="AF60" i="2"/>
  <c r="AD85" i="2"/>
  <c r="AB169" i="2"/>
  <c r="AT134" i="2"/>
  <c r="AT121" i="2"/>
  <c r="AR146" i="2"/>
  <c r="AR133" i="2"/>
  <c r="AP158" i="2"/>
  <c r="AP145" i="2"/>
  <c r="AN170" i="2"/>
  <c r="AN157" i="2"/>
  <c r="AL182" i="2"/>
  <c r="AL169" i="2"/>
  <c r="AL37" i="2"/>
  <c r="AJ181" i="2"/>
  <c r="AJ108" i="2"/>
  <c r="AJ36" i="2"/>
  <c r="AH121" i="2"/>
  <c r="AH48" i="2"/>
  <c r="AF146" i="2"/>
  <c r="AF73" i="2"/>
  <c r="AD158" i="2"/>
  <c r="AD84" i="2"/>
  <c r="W157" i="2"/>
  <c r="W27" i="2"/>
  <c r="AH27" i="2"/>
  <c r="AJ27" i="2"/>
  <c r="AL27" i="2"/>
  <c r="AN27" i="2"/>
  <c r="AP27" i="2"/>
  <c r="AR27" i="2"/>
  <c r="AT27" i="2"/>
  <c r="AF27" i="2"/>
  <c r="AD27" i="2"/>
  <c r="AB27" i="2"/>
  <c r="U27" i="2"/>
  <c r="U172" i="2"/>
  <c r="AF172" i="2"/>
  <c r="AH172" i="2"/>
  <c r="AJ172" i="2"/>
  <c r="AL172" i="2"/>
  <c r="AN172" i="2"/>
  <c r="AP172" i="2"/>
  <c r="AR172" i="2"/>
  <c r="AD172" i="2"/>
  <c r="AB172" i="2"/>
  <c r="W172" i="2"/>
  <c r="U160" i="2"/>
  <c r="AF160" i="2"/>
  <c r="AH160" i="2"/>
  <c r="AJ160" i="2"/>
  <c r="AL160" i="2"/>
  <c r="AN160" i="2"/>
  <c r="AP160" i="2"/>
  <c r="AR160" i="2"/>
  <c r="AD160" i="2"/>
  <c r="AB160" i="2"/>
  <c r="W160" i="2"/>
  <c r="U148" i="2"/>
  <c r="AF148" i="2"/>
  <c r="AH148" i="2"/>
  <c r="AJ148" i="2"/>
  <c r="AL148" i="2"/>
  <c r="AN148" i="2"/>
  <c r="AP148" i="2"/>
  <c r="AR148" i="2"/>
  <c r="AD148" i="2"/>
  <c r="AB148" i="2"/>
  <c r="W148" i="2"/>
  <c r="W136" i="2"/>
  <c r="AH136" i="2"/>
  <c r="AJ136" i="2"/>
  <c r="AL136" i="2"/>
  <c r="AN136" i="2"/>
  <c r="AP136" i="2"/>
  <c r="AR136" i="2"/>
  <c r="AF136" i="2"/>
  <c r="AD136" i="2"/>
  <c r="AB136" i="2"/>
  <c r="W111" i="2"/>
  <c r="AH111" i="2"/>
  <c r="AJ111" i="2"/>
  <c r="AL111" i="2"/>
  <c r="AN111" i="2"/>
  <c r="AP111" i="2"/>
  <c r="AR111" i="2"/>
  <c r="AF111" i="2"/>
  <c r="AD111" i="2"/>
  <c r="AB111" i="2"/>
  <c r="W99" i="2"/>
  <c r="AH99" i="2"/>
  <c r="AJ99" i="2"/>
  <c r="AL99" i="2"/>
  <c r="AN99" i="2"/>
  <c r="AP99" i="2"/>
  <c r="AR99" i="2"/>
  <c r="AF99" i="2"/>
  <c r="AD99" i="2"/>
  <c r="AB99" i="2"/>
  <c r="W87" i="2"/>
  <c r="AH87" i="2"/>
  <c r="AJ87" i="2"/>
  <c r="AL87" i="2"/>
  <c r="AN87" i="2"/>
  <c r="AP87" i="2"/>
  <c r="AR87" i="2"/>
  <c r="AF87" i="2"/>
  <c r="AD87" i="2"/>
  <c r="AB87" i="2"/>
  <c r="W75" i="2"/>
  <c r="AH75" i="2"/>
  <c r="AJ75" i="2"/>
  <c r="AL75" i="2"/>
  <c r="AN75" i="2"/>
  <c r="AP75" i="2"/>
  <c r="AR75" i="2"/>
  <c r="AF75" i="2"/>
  <c r="AD75" i="2"/>
  <c r="AB75" i="2"/>
  <c r="W51" i="2"/>
  <c r="AH51" i="2"/>
  <c r="AJ51" i="2"/>
  <c r="AL51" i="2"/>
  <c r="AN51" i="2"/>
  <c r="AP51" i="2"/>
  <c r="AR51" i="2"/>
  <c r="AT51" i="2"/>
  <c r="AF51" i="2"/>
  <c r="AD51" i="2"/>
  <c r="AB51" i="2"/>
  <c r="W124" i="2"/>
  <c r="AH124" i="2"/>
  <c r="AJ124" i="2"/>
  <c r="AL124" i="2"/>
  <c r="AN124" i="2"/>
  <c r="AP124" i="2"/>
  <c r="AR124" i="2"/>
  <c r="AF124" i="2"/>
  <c r="AD124" i="2"/>
  <c r="AB124" i="2"/>
  <c r="AZ140" i="2"/>
  <c r="AZ91" i="2"/>
  <c r="W63" i="2"/>
  <c r="AH63" i="2"/>
  <c r="AJ63" i="2"/>
  <c r="AL63" i="2"/>
  <c r="AN63" i="2"/>
  <c r="AP63" i="2"/>
  <c r="AR63" i="2"/>
  <c r="AF63" i="2"/>
  <c r="AD63" i="2"/>
  <c r="AB63" i="2"/>
  <c r="W39" i="2"/>
  <c r="AH39" i="2"/>
  <c r="AJ39" i="2"/>
  <c r="AL39" i="2"/>
  <c r="AN39" i="2"/>
  <c r="AP39" i="2"/>
  <c r="AR39" i="2"/>
  <c r="AT39" i="2"/>
  <c r="AF39" i="2"/>
  <c r="AD39" i="2"/>
  <c r="AB39" i="2"/>
  <c r="AT172" i="2"/>
  <c r="AT160" i="2"/>
  <c r="AT148" i="2"/>
  <c r="AT136" i="2"/>
  <c r="AT124" i="2"/>
  <c r="AT111" i="2"/>
  <c r="AT99" i="2"/>
  <c r="AT75" i="2"/>
  <c r="AT63" i="2"/>
  <c r="AF137" i="2"/>
  <c r="AF125" i="2"/>
  <c r="AF112" i="2"/>
  <c r="AF100" i="2"/>
  <c r="AF88" i="2"/>
  <c r="AF76" i="2"/>
  <c r="AF64" i="2"/>
  <c r="AF52" i="2"/>
  <c r="AF40" i="2"/>
  <c r="AF28" i="2"/>
  <c r="AD173" i="2"/>
  <c r="AD161" i="2"/>
  <c r="AD149" i="2"/>
  <c r="W146" i="2"/>
  <c r="W134" i="2"/>
  <c r="W122" i="2"/>
  <c r="W109" i="2"/>
  <c r="W97" i="2"/>
  <c r="W85" i="2"/>
  <c r="W73" i="2"/>
  <c r="W61" i="2"/>
  <c r="W49" i="2"/>
  <c r="W37" i="2"/>
  <c r="U182" i="2"/>
  <c r="U170" i="2"/>
  <c r="U158" i="2"/>
  <c r="AJ173" i="2"/>
  <c r="AJ161" i="2"/>
  <c r="AJ149" i="2"/>
  <c r="AJ137" i="2"/>
  <c r="AJ125" i="2"/>
  <c r="AJ112" i="2"/>
  <c r="AJ100" i="2"/>
  <c r="AJ88" i="2"/>
  <c r="AJ76" i="2"/>
  <c r="AJ64" i="2"/>
  <c r="AJ52" i="2"/>
  <c r="AJ40" i="2"/>
  <c r="AJ28" i="2"/>
  <c r="AH173" i="2"/>
  <c r="AH161" i="2"/>
  <c r="AH149" i="2"/>
  <c r="AH137" i="2"/>
  <c r="AH125" i="2"/>
  <c r="AH112" i="2"/>
  <c r="AH100" i="2"/>
  <c r="AH88" i="2"/>
  <c r="AH76" i="2"/>
  <c r="AH64" i="2"/>
  <c r="AH52" i="2"/>
  <c r="AH40" i="2"/>
  <c r="AH28" i="2"/>
  <c r="AF173" i="2"/>
  <c r="AF161" i="2"/>
  <c r="AF149" i="2"/>
  <c r="AT120" i="2"/>
  <c r="AH120" i="2"/>
  <c r="W178" i="2"/>
  <c r="W166" i="2"/>
  <c r="W154" i="2"/>
  <c r="U177" i="2"/>
  <c r="U165" i="2"/>
  <c r="U153" i="2"/>
  <c r="AF147" i="2"/>
  <c r="AB147" i="2"/>
  <c r="W147" i="2"/>
  <c r="U147" i="2"/>
  <c r="AT9" i="2"/>
  <c r="AJ9" i="2"/>
  <c r="AH9" i="2"/>
  <c r="W17" i="2"/>
  <c r="U12" i="2"/>
  <c r="AZ8" i="2"/>
  <c r="U19" i="2"/>
  <c r="AZ69" i="2"/>
  <c r="AF120" i="2"/>
  <c r="AD120" i="2"/>
  <c r="AZ79" i="2"/>
  <c r="AZ124" i="2"/>
  <c r="AZ37" i="2"/>
  <c r="AZ120" i="2"/>
  <c r="AB11" i="2"/>
  <c r="AL120" i="2"/>
  <c r="AZ92" i="2"/>
  <c r="AZ152" i="2"/>
  <c r="AZ103" i="2"/>
  <c r="AZ67" i="2"/>
  <c r="AZ31" i="2"/>
  <c r="U10" i="2"/>
  <c r="U6" i="2"/>
  <c r="U4" i="2"/>
  <c r="AT8" i="2"/>
  <c r="AB5" i="2"/>
  <c r="AJ120" i="2"/>
  <c r="W5" i="2"/>
  <c r="AZ65" i="2"/>
  <c r="U17" i="2"/>
  <c r="U11" i="2"/>
  <c r="AZ50" i="2"/>
  <c r="AZ160" i="2"/>
  <c r="AB120" i="2"/>
  <c r="U120" i="2"/>
  <c r="AZ142" i="2"/>
  <c r="AZ130" i="2"/>
  <c r="AZ117" i="2"/>
  <c r="AR120" i="2"/>
  <c r="AP120" i="2"/>
  <c r="AZ20" i="2"/>
  <c r="AR25" i="2"/>
  <c r="AF9" i="2"/>
  <c r="U13" i="2"/>
  <c r="AR13" i="2"/>
  <c r="AD13" i="2"/>
  <c r="AR9" i="2"/>
  <c r="AD9" i="2"/>
  <c r="AZ131" i="2"/>
  <c r="AZ93" i="2"/>
  <c r="AP20" i="2"/>
  <c r="AZ81" i="2"/>
  <c r="W23" i="2"/>
  <c r="U9" i="2"/>
  <c r="AZ166" i="2"/>
  <c r="AZ6" i="2"/>
  <c r="AP9" i="2"/>
  <c r="U8" i="2"/>
  <c r="AN9" i="2"/>
  <c r="W20" i="2"/>
  <c r="U7" i="2"/>
  <c r="AL13" i="2"/>
  <c r="AZ175" i="2"/>
  <c r="AZ163" i="2"/>
  <c r="AZ151" i="2"/>
  <c r="AZ139" i="2"/>
  <c r="AZ127" i="2"/>
  <c r="AZ114" i="2"/>
  <c r="AZ102" i="2"/>
  <c r="AZ66" i="2"/>
  <c r="AR3" i="2"/>
  <c r="AZ15" i="2"/>
  <c r="AL9" i="2"/>
  <c r="W8" i="2"/>
  <c r="U5" i="2"/>
  <c r="AT13" i="2"/>
  <c r="AH13" i="2"/>
  <c r="AZ21" i="2"/>
  <c r="AF3" i="2"/>
  <c r="AT3" i="2"/>
  <c r="AP13" i="2"/>
  <c r="AL19" i="2"/>
  <c r="AH19" i="2"/>
  <c r="AD19" i="2"/>
  <c r="AZ17" i="2"/>
  <c r="AZ5" i="2"/>
  <c r="AR20" i="2"/>
  <c r="AP8" i="2"/>
  <c r="W19" i="2"/>
  <c r="AZ16" i="2"/>
  <c r="AZ4" i="2"/>
  <c r="AR19" i="2"/>
  <c r="AP7" i="2"/>
  <c r="AL7" i="2"/>
  <c r="AH7" i="2"/>
  <c r="AD7" i="2"/>
  <c r="U3" i="2"/>
  <c r="AP3" i="2"/>
  <c r="AD3" i="2"/>
  <c r="AZ179" i="2"/>
  <c r="AZ167" i="2"/>
  <c r="AZ155" i="2"/>
  <c r="AZ94" i="2"/>
  <c r="AZ82" i="2"/>
  <c r="AN25" i="2"/>
  <c r="AH3" i="2"/>
  <c r="AT25" i="2"/>
  <c r="AJ25" i="2"/>
  <c r="AB25" i="2"/>
  <c r="AT20" i="2"/>
  <c r="AR8" i="2"/>
  <c r="AN19" i="2"/>
  <c r="AJ19" i="2"/>
  <c r="AF19" i="2"/>
  <c r="AB19" i="2"/>
  <c r="W7" i="2"/>
  <c r="AL3" i="2"/>
  <c r="W13" i="2"/>
  <c r="AF25" i="2"/>
  <c r="AT19" i="2"/>
  <c r="AR7" i="2"/>
  <c r="AN13" i="2"/>
  <c r="AJ13" i="2"/>
  <c r="AF13" i="2"/>
  <c r="AP25" i="2"/>
  <c r="AN7" i="2"/>
  <c r="AJ7" i="2"/>
  <c r="AF7" i="2"/>
  <c r="AB7" i="2"/>
  <c r="AN3" i="2"/>
  <c r="AJ3" i="2"/>
  <c r="AL25" i="2"/>
  <c r="AH25" i="2"/>
  <c r="AD25" i="2"/>
  <c r="W25" i="2"/>
  <c r="AZ183" i="2"/>
  <c r="AZ182" i="2"/>
  <c r="AZ170" i="2"/>
  <c r="AZ146" i="2"/>
  <c r="AZ134" i="2"/>
  <c r="AZ109" i="2"/>
  <c r="AZ97" i="2"/>
  <c r="AZ73" i="2"/>
  <c r="AZ61" i="2"/>
  <c r="AZ49" i="2"/>
  <c r="AZ34" i="2"/>
  <c r="AZ54" i="2"/>
  <c r="AZ173" i="2"/>
  <c r="AZ149" i="2"/>
  <c r="AZ137" i="2"/>
  <c r="AZ125" i="2"/>
  <c r="AZ112" i="2"/>
  <c r="AZ88" i="2"/>
  <c r="AZ76" i="2"/>
  <c r="AZ40" i="2"/>
  <c r="AZ161" i="2"/>
  <c r="AZ171" i="2"/>
  <c r="AZ86" i="2"/>
  <c r="AZ181" i="2"/>
  <c r="AZ169" i="2"/>
  <c r="AZ157" i="2"/>
  <c r="AZ145" i="2"/>
  <c r="AZ133" i="2"/>
  <c r="AZ121" i="2"/>
  <c r="AZ108" i="2"/>
  <c r="AZ96" i="2"/>
  <c r="AZ84" i="2"/>
  <c r="AZ159" i="2"/>
  <c r="AZ26" i="2"/>
  <c r="AZ180" i="2"/>
  <c r="AZ168" i="2"/>
  <c r="AZ156" i="2"/>
  <c r="AZ144" i="2"/>
  <c r="AZ132" i="2"/>
  <c r="AZ119" i="2"/>
  <c r="AZ107" i="2"/>
  <c r="AZ95" i="2"/>
  <c r="AZ83" i="2"/>
  <c r="AZ98" i="2"/>
  <c r="AZ70" i="2"/>
  <c r="AZ123" i="2"/>
  <c r="AZ57" i="2"/>
  <c r="AZ45" i="2"/>
  <c r="AZ32" i="2"/>
  <c r="AZ110" i="2"/>
  <c r="AZ23" i="2"/>
  <c r="AZ22" i="2"/>
  <c r="AZ10" i="2"/>
  <c r="AZ135" i="2"/>
  <c r="AZ147" i="2"/>
  <c r="AZ9" i="2"/>
  <c r="AZ174" i="2"/>
  <c r="AZ162" i="2"/>
  <c r="AZ150" i="2"/>
  <c r="AZ138" i="2"/>
  <c r="AZ126" i="2"/>
  <c r="AZ113" i="2"/>
  <c r="AZ101" i="2"/>
  <c r="AZ89" i="2"/>
  <c r="AZ77" i="2"/>
  <c r="AZ64" i="2"/>
  <c r="AZ18" i="2"/>
  <c r="AZ51" i="2"/>
  <c r="AZ39" i="2"/>
  <c r="AZ62" i="2"/>
  <c r="AZ19" i="2"/>
  <c r="AZ11" i="2"/>
  <c r="AZ25" i="2"/>
  <c r="AZ13" i="2"/>
  <c r="AZ24" i="2"/>
  <c r="AZ12" i="2"/>
  <c r="AN8" i="2"/>
  <c r="AL8" i="2"/>
  <c r="AJ8" i="2"/>
  <c r="AH8" i="2"/>
  <c r="AF8" i="2"/>
  <c r="AD8" i="2"/>
  <c r="W14" i="2"/>
  <c r="W12" i="2"/>
  <c r="AB6" i="2"/>
  <c r="AT26" i="2"/>
  <c r="AR26" i="2"/>
  <c r="AP26" i="2"/>
  <c r="AN26" i="2"/>
  <c r="AL26" i="2"/>
  <c r="AJ26" i="2"/>
  <c r="AH26" i="2"/>
  <c r="AF26" i="2"/>
  <c r="AD26" i="2"/>
  <c r="AB26" i="2"/>
  <c r="W11" i="2"/>
  <c r="AR21" i="2"/>
  <c r="AN21" i="2"/>
  <c r="AH21" i="2"/>
  <c r="AB21" i="2"/>
  <c r="W26" i="2"/>
  <c r="AT21" i="2"/>
  <c r="AP21" i="2"/>
  <c r="AL21" i="2"/>
  <c r="AJ21" i="2"/>
  <c r="AF21" i="2"/>
  <c r="AD21" i="2"/>
  <c r="AN20" i="2"/>
  <c r="AL20" i="2"/>
  <c r="AJ20" i="2"/>
  <c r="AH20" i="2"/>
  <c r="AF20" i="2"/>
  <c r="AD20" i="2"/>
  <c r="AB20" i="2"/>
  <c r="W24" i="2"/>
  <c r="W6" i="2"/>
  <c r="AT15" i="2"/>
  <c r="AR15" i="2"/>
  <c r="AP15" i="2"/>
  <c r="AN15" i="2"/>
  <c r="AL15" i="2"/>
  <c r="AJ15" i="2"/>
  <c r="AH15" i="2"/>
  <c r="AF15" i="2"/>
  <c r="AD15" i="2"/>
  <c r="AB15" i="2"/>
  <c r="AT14" i="2"/>
  <c r="AR14" i="2"/>
  <c r="AP14" i="2"/>
  <c r="AN14" i="2"/>
  <c r="AL14" i="2"/>
  <c r="AJ14" i="2"/>
  <c r="AH14" i="2"/>
  <c r="AF14" i="2"/>
  <c r="AD14" i="2"/>
  <c r="U23" i="2"/>
  <c r="AB12" i="2"/>
  <c r="W18" i="2"/>
  <c r="AR18" i="2"/>
  <c r="AP6" i="2"/>
  <c r="AL18" i="2"/>
  <c r="AL6" i="2"/>
  <c r="AH18" i="2"/>
  <c r="AF18" i="2"/>
  <c r="AD6" i="2"/>
  <c r="U16" i="2"/>
  <c r="AR17" i="2"/>
  <c r="AP5" i="2"/>
  <c r="AL17" i="2"/>
  <c r="AT16" i="2"/>
  <c r="AT4" i="2"/>
  <c r="AR16" i="2"/>
  <c r="AR4" i="2"/>
  <c r="AP16" i="2"/>
  <c r="AP4" i="2"/>
  <c r="AN16" i="2"/>
  <c r="AN4" i="2"/>
  <c r="AL16" i="2"/>
  <c r="AL4" i="2"/>
  <c r="AJ16" i="2"/>
  <c r="AJ4" i="2"/>
  <c r="AH16" i="2"/>
  <c r="AH4" i="2"/>
  <c r="AF16" i="2"/>
  <c r="AF4" i="2"/>
  <c r="AD16" i="2"/>
  <c r="AD4" i="2"/>
  <c r="AB16" i="2"/>
  <c r="AB3" i="2"/>
  <c r="W15" i="2"/>
  <c r="AZ14" i="2"/>
  <c r="U24" i="2"/>
  <c r="AR12" i="2"/>
  <c r="AN24" i="2"/>
  <c r="AL12" i="2"/>
  <c r="AH12" i="2"/>
  <c r="AD12" i="2"/>
  <c r="AT12" i="2"/>
  <c r="AP24" i="2"/>
  <c r="AN12" i="2"/>
  <c r="AJ12" i="2"/>
  <c r="AF12" i="2"/>
  <c r="AT23" i="2"/>
  <c r="AR23" i="2"/>
  <c r="AP23" i="2"/>
  <c r="AP11" i="2"/>
  <c r="AN11" i="2"/>
  <c r="AL23" i="2"/>
  <c r="AJ23" i="2"/>
  <c r="AJ11" i="2"/>
  <c r="AH23" i="2"/>
  <c r="AH11" i="2"/>
  <c r="AF23" i="2"/>
  <c r="AF11" i="2"/>
  <c r="AD23" i="2"/>
  <c r="AD11" i="2"/>
  <c r="AB23" i="2"/>
  <c r="AB10" i="2"/>
  <c r="W22" i="2"/>
  <c r="W10" i="2"/>
  <c r="U21" i="2"/>
  <c r="AT24" i="2"/>
  <c r="AR24" i="2"/>
  <c r="AL24" i="2"/>
  <c r="AJ24" i="2"/>
  <c r="AH24" i="2"/>
  <c r="AF24" i="2"/>
  <c r="AD24" i="2"/>
  <c r="U22" i="2"/>
  <c r="AT11" i="2"/>
  <c r="AR11" i="2"/>
  <c r="AT22" i="2"/>
  <c r="AT10" i="2"/>
  <c r="AR22" i="2"/>
  <c r="AR10" i="2"/>
  <c r="AP22" i="2"/>
  <c r="AP10" i="2"/>
  <c r="AN22" i="2"/>
  <c r="AN10" i="2"/>
  <c r="AL22" i="2"/>
  <c r="AL10" i="2"/>
  <c r="AJ22" i="2"/>
  <c r="AJ10" i="2"/>
  <c r="AH22" i="2"/>
  <c r="AH10" i="2"/>
  <c r="AF22" i="2"/>
  <c r="AF10" i="2"/>
  <c r="AD22" i="2"/>
  <c r="AB9" i="2"/>
  <c r="U18" i="2"/>
  <c r="AT18" i="2"/>
  <c r="AR6" i="2"/>
  <c r="AN6" i="2"/>
  <c r="AJ6" i="2"/>
  <c r="AD18" i="2"/>
  <c r="AT6" i="2"/>
  <c r="AP18" i="2"/>
  <c r="AN18" i="2"/>
  <c r="AJ18" i="2"/>
  <c r="AH6" i="2"/>
  <c r="AT17" i="2"/>
  <c r="AT5" i="2"/>
  <c r="AR5" i="2"/>
  <c r="AP17" i="2"/>
  <c r="AN17" i="2"/>
  <c r="AN5" i="2"/>
  <c r="AL5" i="2"/>
  <c r="AJ17" i="2"/>
  <c r="AJ5" i="2"/>
  <c r="AH17" i="2"/>
  <c r="AH5" i="2"/>
  <c r="AF17" i="2"/>
  <c r="AF5" i="2"/>
  <c r="AD17" i="2"/>
  <c r="AB4" i="2"/>
  <c r="U14" i="2"/>
  <c r="J183" i="1" l="1"/>
  <c r="J2"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AA222" i="1" l="1"/>
  <c r="BF181" i="1"/>
  <c r="BG182" i="1"/>
  <c r="BG181" i="1"/>
  <c r="BF182" i="1"/>
  <c r="BF2" i="1"/>
  <c r="BF3" i="1"/>
  <c r="BF4" i="1"/>
  <c r="BF5" i="1"/>
  <c r="BF6" i="1"/>
  <c r="BF7" i="1"/>
  <c r="BF8" i="1"/>
  <c r="BF9" i="1"/>
  <c r="BF10"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1" i="1"/>
  <c r="BF112" i="1"/>
  <c r="BF113" i="1"/>
  <c r="BF114" i="1"/>
  <c r="BF115" i="1"/>
  <c r="BF116" i="1"/>
  <c r="BF117" i="1"/>
  <c r="BF118" i="1"/>
  <c r="BF119" i="1"/>
  <c r="BF120" i="1"/>
  <c r="BF121" i="1"/>
  <c r="BF122" i="1"/>
  <c r="BF123" i="1"/>
  <c r="BF124" i="1"/>
  <c r="BF125" i="1"/>
  <c r="BF126" i="1"/>
  <c r="BF127" i="1"/>
  <c r="BF128" i="1"/>
  <c r="BF129" i="1"/>
  <c r="BF130" i="1"/>
  <c r="BF131" i="1"/>
  <c r="BF132" i="1"/>
  <c r="BF133" i="1"/>
  <c r="BF134" i="1"/>
  <c r="BF135" i="1"/>
  <c r="BF136" i="1"/>
  <c r="BF137" i="1"/>
  <c r="BF138" i="1"/>
  <c r="BF139" i="1"/>
  <c r="BF140" i="1"/>
  <c r="BF141" i="1"/>
  <c r="BF142" i="1"/>
  <c r="BF143" i="1"/>
  <c r="BF144" i="1"/>
  <c r="BF145" i="1"/>
  <c r="BF146" i="1"/>
  <c r="BF147" i="1"/>
  <c r="BF148" i="1"/>
  <c r="BF149" i="1"/>
  <c r="BF150" i="1"/>
  <c r="BF151" i="1"/>
  <c r="BF152" i="1"/>
  <c r="BF153" i="1"/>
  <c r="BF154" i="1"/>
  <c r="BF155" i="1"/>
  <c r="BF156" i="1"/>
  <c r="BF157" i="1"/>
  <c r="BF158" i="1"/>
  <c r="BF159" i="1"/>
  <c r="BF160" i="1"/>
  <c r="BF161" i="1"/>
  <c r="BF162" i="1"/>
  <c r="BF163" i="1"/>
  <c r="BF164" i="1"/>
  <c r="BF165" i="1"/>
  <c r="BF166" i="1"/>
  <c r="BF167" i="1"/>
  <c r="BF168" i="1"/>
  <c r="BF169" i="1"/>
  <c r="BF170" i="1"/>
  <c r="BF171" i="1"/>
  <c r="BF172" i="1"/>
  <c r="BF173" i="1"/>
  <c r="BF174" i="1"/>
  <c r="BF175" i="1"/>
  <c r="BF176" i="1"/>
  <c r="BF177" i="1"/>
  <c r="BF178" i="1"/>
  <c r="BF179" i="1"/>
  <c r="BF180" i="1"/>
  <c r="BF183" i="1"/>
  <c r="BF184" i="1" l="1"/>
  <c r="BH182" i="1"/>
  <c r="BH181" i="1"/>
  <c r="X184" i="4"/>
  <c r="X184" i="3"/>
  <c r="X184" i="2"/>
  <c r="H120" i="1"/>
  <c r="O120" i="1"/>
  <c r="P120" i="1"/>
  <c r="T120" i="1"/>
  <c r="AN120" i="1" s="1"/>
  <c r="BG120" i="1"/>
  <c r="H2" i="4"/>
  <c r="H2" i="3"/>
  <c r="H2" i="2"/>
  <c r="H2"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G2" i="2"/>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T3" i="1"/>
  <c r="W3" i="1" s="1"/>
  <c r="T4" i="1"/>
  <c r="AD4" i="1" s="1"/>
  <c r="T5" i="1"/>
  <c r="AF5" i="1" s="1"/>
  <c r="T6" i="1"/>
  <c r="AR6" i="1" s="1"/>
  <c r="T7" i="1"/>
  <c r="W7" i="1" s="1"/>
  <c r="T8" i="1"/>
  <c r="W8" i="1" s="1"/>
  <c r="T9" i="1"/>
  <c r="AF9" i="1" s="1"/>
  <c r="T10" i="1"/>
  <c r="AB10" i="1" s="1"/>
  <c r="T11" i="1"/>
  <c r="AD11" i="1" s="1"/>
  <c r="T12" i="1"/>
  <c r="AV12" i="1" s="1"/>
  <c r="T13" i="1"/>
  <c r="U13" i="1" s="1"/>
  <c r="T14" i="1"/>
  <c r="W14" i="1" s="1"/>
  <c r="T15" i="1"/>
  <c r="W15" i="1" s="1"/>
  <c r="T16" i="1"/>
  <c r="AD16" i="1" s="1"/>
  <c r="T17" i="1"/>
  <c r="AJ17" i="1" s="1"/>
  <c r="T18" i="1"/>
  <c r="W18" i="1" s="1"/>
  <c r="T19" i="1"/>
  <c r="W19" i="1" s="1"/>
  <c r="T20" i="1"/>
  <c r="AH20" i="1" s="1"/>
  <c r="T21" i="1"/>
  <c r="W21" i="1" s="1"/>
  <c r="T22" i="1"/>
  <c r="AB22" i="1" s="1"/>
  <c r="T23" i="1"/>
  <c r="AD23" i="1" s="1"/>
  <c r="T24" i="1"/>
  <c r="AZ24" i="1" s="1"/>
  <c r="T25" i="1"/>
  <c r="BB25" i="1" s="1"/>
  <c r="T26" i="1"/>
  <c r="AD26" i="1" s="1"/>
  <c r="T27" i="1"/>
  <c r="W27" i="1" s="1"/>
  <c r="T28" i="1"/>
  <c r="AJ28" i="1" s="1"/>
  <c r="T29" i="1"/>
  <c r="AF29" i="1" s="1"/>
  <c r="T30" i="1"/>
  <c r="AB30" i="1" s="1"/>
  <c r="T31" i="1"/>
  <c r="AB31" i="1" s="1"/>
  <c r="T32" i="1"/>
  <c r="BB32" i="1" s="1"/>
  <c r="T33" i="1"/>
  <c r="AF33" i="1" s="1"/>
  <c r="T34" i="1"/>
  <c r="AB34" i="1" s="1"/>
  <c r="T35" i="1"/>
  <c r="AD35" i="1" s="1"/>
  <c r="T36" i="1"/>
  <c r="AZ36" i="1" s="1"/>
  <c r="T37" i="1"/>
  <c r="BB37" i="1" s="1"/>
  <c r="T38" i="1"/>
  <c r="W38" i="1" s="1"/>
  <c r="T39" i="1"/>
  <c r="W39" i="1" s="1"/>
  <c r="T40" i="1"/>
  <c r="AD40" i="1" s="1"/>
  <c r="T41" i="1"/>
  <c r="AJ41" i="1" s="1"/>
  <c r="T42" i="1"/>
  <c r="W42" i="1" s="1"/>
  <c r="T43" i="1"/>
  <c r="AD43" i="1" s="1"/>
  <c r="T44" i="1"/>
  <c r="AB44" i="1" s="1"/>
  <c r="T45" i="1"/>
  <c r="AB45" i="1" s="1"/>
  <c r="T46" i="1"/>
  <c r="AB46" i="1" s="1"/>
  <c r="T47" i="1"/>
  <c r="AD47" i="1" s="1"/>
  <c r="T48" i="1"/>
  <c r="BB48" i="1" s="1"/>
  <c r="T49" i="1"/>
  <c r="U49" i="1" s="1"/>
  <c r="T50" i="1"/>
  <c r="AB50" i="1" s="1"/>
  <c r="T51" i="1"/>
  <c r="AH51" i="1" s="1"/>
  <c r="T52" i="1"/>
  <c r="AD52" i="1" s="1"/>
  <c r="T53" i="1"/>
  <c r="AF53" i="1" s="1"/>
  <c r="T54" i="1"/>
  <c r="AD54" i="1" s="1"/>
  <c r="T55" i="1"/>
  <c r="AT55" i="1" s="1"/>
  <c r="T56" i="1"/>
  <c r="AB56" i="1" s="1"/>
  <c r="T57" i="1"/>
  <c r="W57" i="1" s="1"/>
  <c r="T58" i="1"/>
  <c r="AB58" i="1" s="1"/>
  <c r="T59" i="1"/>
  <c r="AD59" i="1" s="1"/>
  <c r="T60" i="1"/>
  <c r="AJ60" i="1" s="1"/>
  <c r="T61" i="1"/>
  <c r="BB61" i="1" s="1"/>
  <c r="T62" i="1"/>
  <c r="AD62" i="1" s="1"/>
  <c r="T63" i="1"/>
  <c r="AD63" i="1" s="1"/>
  <c r="T64" i="1"/>
  <c r="AF64" i="1" s="1"/>
  <c r="T65" i="1"/>
  <c r="AH65" i="1" s="1"/>
  <c r="T66" i="1"/>
  <c r="AF66" i="1" s="1"/>
  <c r="T67" i="1"/>
  <c r="W67" i="1" s="1"/>
  <c r="T68" i="1"/>
  <c r="AZ68" i="1" s="1"/>
  <c r="T69" i="1"/>
  <c r="AB69" i="1" s="1"/>
  <c r="T70" i="1"/>
  <c r="AB70" i="1" s="1"/>
  <c r="T71" i="1"/>
  <c r="AD71" i="1" s="1"/>
  <c r="T72" i="1"/>
  <c r="AX72" i="1" s="1"/>
  <c r="T73" i="1"/>
  <c r="AZ73" i="1" s="1"/>
  <c r="T74" i="1"/>
  <c r="AD74" i="1" s="1"/>
  <c r="T75" i="1"/>
  <c r="W75" i="1" s="1"/>
  <c r="T76" i="1"/>
  <c r="AF76" i="1" s="1"/>
  <c r="T77" i="1"/>
  <c r="AJ77" i="1" s="1"/>
  <c r="T78" i="1"/>
  <c r="W78" i="1" s="1"/>
  <c r="T79" i="1"/>
  <c r="W79" i="1" s="1"/>
  <c r="T80" i="1"/>
  <c r="AB80" i="1" s="1"/>
  <c r="T81" i="1"/>
  <c r="AH81" i="1" s="1"/>
  <c r="T82" i="1"/>
  <c r="AB82" i="1" s="1"/>
  <c r="T83" i="1"/>
  <c r="AD83" i="1" s="1"/>
  <c r="T84" i="1"/>
  <c r="AV84" i="1" s="1"/>
  <c r="T85" i="1"/>
  <c r="AZ85" i="1" s="1"/>
  <c r="T86" i="1"/>
  <c r="AB86" i="1" s="1"/>
  <c r="T87" i="1"/>
  <c r="W87" i="1" s="1"/>
  <c r="T88" i="1"/>
  <c r="AD88" i="1" s="1"/>
  <c r="T89" i="1"/>
  <c r="AD89" i="1" s="1"/>
  <c r="T90" i="1"/>
  <c r="AF90" i="1" s="1"/>
  <c r="T91" i="1"/>
  <c r="AB91" i="1" s="1"/>
  <c r="T92" i="1"/>
  <c r="AJ92" i="1" s="1"/>
  <c r="T93" i="1"/>
  <c r="AB93" i="1" s="1"/>
  <c r="T94" i="1"/>
  <c r="AB94" i="1" s="1"/>
  <c r="T95" i="1"/>
  <c r="AD95" i="1" s="1"/>
  <c r="T96" i="1"/>
  <c r="AZ96" i="1" s="1"/>
  <c r="T97" i="1"/>
  <c r="AZ97" i="1" s="1"/>
  <c r="T98" i="1"/>
  <c r="AD98" i="1" s="1"/>
  <c r="T99" i="1"/>
  <c r="U99" i="1" s="1"/>
  <c r="T100" i="1"/>
  <c r="AD100" i="1" s="1"/>
  <c r="T101" i="1"/>
  <c r="U101" i="1" s="1"/>
  <c r="T102" i="1"/>
  <c r="U102" i="1" s="1"/>
  <c r="T103" i="1"/>
  <c r="W103" i="1" s="1"/>
  <c r="T104" i="1"/>
  <c r="U104" i="1" s="1"/>
  <c r="T105" i="1"/>
  <c r="U105" i="1" s="1"/>
  <c r="T106" i="1"/>
  <c r="AD106" i="1" s="1"/>
  <c r="T107" i="1"/>
  <c r="AB107" i="1" s="1"/>
  <c r="T108" i="1"/>
  <c r="AV108" i="1" s="1"/>
  <c r="T109" i="1"/>
  <c r="T110" i="1"/>
  <c r="AB110" i="1" s="1"/>
  <c r="T111" i="1"/>
  <c r="U111" i="1" s="1"/>
  <c r="T112" i="1"/>
  <c r="AH112" i="1" s="1"/>
  <c r="T113" i="1"/>
  <c r="U113" i="1" s="1"/>
  <c r="T114" i="1"/>
  <c r="AB114" i="1" s="1"/>
  <c r="T115" i="1"/>
  <c r="AB115" i="1" s="1"/>
  <c r="T116" i="1"/>
  <c r="W116" i="1" s="1"/>
  <c r="T117" i="1"/>
  <c r="U117" i="1" s="1"/>
  <c r="T118" i="1"/>
  <c r="AD118" i="1" s="1"/>
  <c r="T119" i="1"/>
  <c r="AB119" i="1" s="1"/>
  <c r="T121" i="1"/>
  <c r="AL121" i="1" s="1"/>
  <c r="T122" i="1"/>
  <c r="AZ122" i="1" s="1"/>
  <c r="T123" i="1"/>
  <c r="U123" i="1" s="1"/>
  <c r="T124" i="1"/>
  <c r="U124" i="1" s="1"/>
  <c r="T125" i="1"/>
  <c r="U125" i="1" s="1"/>
  <c r="T126" i="1"/>
  <c r="U126" i="1" s="1"/>
  <c r="T127" i="1"/>
  <c r="W127" i="1" s="1"/>
  <c r="T128" i="1"/>
  <c r="W128" i="1" s="1"/>
  <c r="T129" i="1"/>
  <c r="U129" i="1" s="1"/>
  <c r="T130" i="1"/>
  <c r="U130" i="1" s="1"/>
  <c r="T131" i="1"/>
  <c r="AD131" i="1" s="1"/>
  <c r="T132" i="1"/>
  <c r="AB132" i="1" s="1"/>
  <c r="T133" i="1"/>
  <c r="AZ133" i="1" s="1"/>
  <c r="T134" i="1"/>
  <c r="AZ134" i="1" s="1"/>
  <c r="T135" i="1"/>
  <c r="AD135" i="1" s="1"/>
  <c r="T136" i="1"/>
  <c r="U136" i="1" s="1"/>
  <c r="T137" i="1"/>
  <c r="AB137" i="1" s="1"/>
  <c r="T138" i="1"/>
  <c r="U138" i="1" s="1"/>
  <c r="T139" i="1"/>
  <c r="AB139" i="1" s="1"/>
  <c r="T140" i="1"/>
  <c r="AB140" i="1" s="1"/>
  <c r="T141" i="1"/>
  <c r="AB141" i="1" s="1"/>
  <c r="T142" i="1"/>
  <c r="U142" i="1" s="1"/>
  <c r="T143" i="1"/>
  <c r="AD143" i="1" s="1"/>
  <c r="T144" i="1"/>
  <c r="AB144" i="1" s="1"/>
  <c r="T145" i="1"/>
  <c r="AT145" i="1" s="1"/>
  <c r="T146" i="1"/>
  <c r="AZ146" i="1" s="1"/>
  <c r="T147" i="1"/>
  <c r="U147" i="1" s="1"/>
  <c r="T148" i="1"/>
  <c r="W148" i="1" s="1"/>
  <c r="T149" i="1"/>
  <c r="AD149" i="1" s="1"/>
  <c r="T150" i="1"/>
  <c r="AF150" i="1" s="1"/>
  <c r="T151" i="1"/>
  <c r="W151" i="1" s="1"/>
  <c r="T152" i="1"/>
  <c r="W152" i="1" s="1"/>
  <c r="T153" i="1"/>
  <c r="U153" i="1" s="1"/>
  <c r="T154" i="1"/>
  <c r="U154" i="1" s="1"/>
  <c r="T155" i="1"/>
  <c r="AD155" i="1" s="1"/>
  <c r="T156" i="1"/>
  <c r="AB156" i="1" s="1"/>
  <c r="T157" i="1"/>
  <c r="AV157" i="1" s="1"/>
  <c r="T158" i="1"/>
  <c r="AZ158" i="1" s="1"/>
  <c r="T159" i="1"/>
  <c r="U159" i="1" s="1"/>
  <c r="T160" i="1"/>
  <c r="AB160" i="1" s="1"/>
  <c r="T161" i="1"/>
  <c r="U161" i="1" s="1"/>
  <c r="T162" i="1"/>
  <c r="U162" i="1" s="1"/>
  <c r="T163" i="1"/>
  <c r="AB163" i="1" s="1"/>
  <c r="T164" i="1"/>
  <c r="AD164" i="1" s="1"/>
  <c r="T165" i="1"/>
  <c r="U165" i="1" s="1"/>
  <c r="T166" i="1"/>
  <c r="U166" i="1" s="1"/>
  <c r="T167" i="1"/>
  <c r="AD167" i="1" s="1"/>
  <c r="T168" i="1"/>
  <c r="AB168" i="1" s="1"/>
  <c r="T169" i="1"/>
  <c r="AT169" i="1" s="1"/>
  <c r="T170" i="1"/>
  <c r="AZ170" i="1" s="1"/>
  <c r="T171" i="1"/>
  <c r="U171" i="1" s="1"/>
  <c r="T172" i="1"/>
  <c r="U172" i="1" s="1"/>
  <c r="T173" i="1"/>
  <c r="AB173" i="1" s="1"/>
  <c r="T174" i="1"/>
  <c r="U174" i="1" s="1"/>
  <c r="T175" i="1"/>
  <c r="U175" i="1" s="1"/>
  <c r="T176" i="1"/>
  <c r="U176" i="1" s="1"/>
  <c r="T177" i="1"/>
  <c r="U177" i="1" s="1"/>
  <c r="T178" i="1"/>
  <c r="W178" i="1" s="1"/>
  <c r="T179" i="1"/>
  <c r="AD179" i="1" s="1"/>
  <c r="T180" i="1"/>
  <c r="AB180" i="1" s="1"/>
  <c r="T181" i="1"/>
  <c r="AZ181" i="1" s="1"/>
  <c r="T182" i="1"/>
  <c r="AZ182" i="1" s="1"/>
  <c r="T183" i="1"/>
  <c r="U183" i="1" s="1"/>
  <c r="U3" i="1"/>
  <c r="U4" i="1"/>
  <c r="BG3" i="1"/>
  <c r="BG4" i="1"/>
  <c r="BG5" i="1"/>
  <c r="BH5" i="1" s="1"/>
  <c r="BG6" i="1"/>
  <c r="BH6" i="1" s="1"/>
  <c r="BG7" i="1"/>
  <c r="BG8" i="1"/>
  <c r="BH8" i="1" s="1"/>
  <c r="BG9" i="1"/>
  <c r="BH9" i="1" s="1"/>
  <c r="BG10" i="1"/>
  <c r="BH10" i="1" s="1"/>
  <c r="BG11" i="1"/>
  <c r="BH11" i="1" s="1"/>
  <c r="BG12" i="1"/>
  <c r="BH12" i="1" s="1"/>
  <c r="BG13" i="1"/>
  <c r="BH13" i="1" s="1"/>
  <c r="BG14" i="1"/>
  <c r="BG15" i="1"/>
  <c r="BG16" i="1"/>
  <c r="BH16" i="1" s="1"/>
  <c r="BG17" i="1"/>
  <c r="BH17" i="1" s="1"/>
  <c r="BG18" i="1"/>
  <c r="BH18" i="1" s="1"/>
  <c r="BG19" i="1"/>
  <c r="BG20" i="1"/>
  <c r="BH20" i="1" s="1"/>
  <c r="BG21" i="1"/>
  <c r="BH21" i="1" s="1"/>
  <c r="BG22" i="1"/>
  <c r="BH22" i="1" s="1"/>
  <c r="BG23" i="1"/>
  <c r="BH23" i="1" s="1"/>
  <c r="BG24" i="1"/>
  <c r="BH24" i="1" s="1"/>
  <c r="BG25" i="1"/>
  <c r="BH25" i="1" s="1"/>
  <c r="BG26" i="1"/>
  <c r="BG27" i="1"/>
  <c r="BG28" i="1"/>
  <c r="BH28" i="1" s="1"/>
  <c r="BG29" i="1"/>
  <c r="BH29" i="1" s="1"/>
  <c r="BG30" i="1"/>
  <c r="BH30" i="1" s="1"/>
  <c r="BG31" i="1"/>
  <c r="BH31" i="1" s="1"/>
  <c r="BG32" i="1"/>
  <c r="BH32" i="1" s="1"/>
  <c r="BG33" i="1"/>
  <c r="BG34" i="1"/>
  <c r="BH34" i="1" s="1"/>
  <c r="BG35" i="1"/>
  <c r="BH35" i="1" s="1"/>
  <c r="BG36" i="1"/>
  <c r="BH36" i="1" s="1"/>
  <c r="BG37" i="1"/>
  <c r="BH37" i="1" s="1"/>
  <c r="BG38" i="1"/>
  <c r="BG39" i="1"/>
  <c r="BG40" i="1"/>
  <c r="BH40" i="1" s="1"/>
  <c r="BG41" i="1"/>
  <c r="BG42" i="1"/>
  <c r="BG43" i="1"/>
  <c r="BH43" i="1" s="1"/>
  <c r="BG44" i="1"/>
  <c r="BH44" i="1" s="1"/>
  <c r="BG45" i="1"/>
  <c r="BH45" i="1" s="1"/>
  <c r="BG46" i="1"/>
  <c r="BH46" i="1" s="1"/>
  <c r="BG47" i="1"/>
  <c r="BH47" i="1" s="1"/>
  <c r="BG48" i="1"/>
  <c r="BH48" i="1" s="1"/>
  <c r="BG49" i="1"/>
  <c r="BH49" i="1" s="1"/>
  <c r="BG50" i="1"/>
  <c r="BG51" i="1"/>
  <c r="BG52" i="1"/>
  <c r="BH52" i="1" s="1"/>
  <c r="BG53" i="1"/>
  <c r="BH53" i="1" s="1"/>
  <c r="BG54" i="1"/>
  <c r="BH54" i="1" s="1"/>
  <c r="BG55" i="1"/>
  <c r="BH55" i="1" s="1"/>
  <c r="BG56" i="1"/>
  <c r="BG57" i="1"/>
  <c r="BH57" i="1" s="1"/>
  <c r="BG58" i="1"/>
  <c r="BH58" i="1" s="1"/>
  <c r="BG59" i="1"/>
  <c r="BH59" i="1" s="1"/>
  <c r="BG60" i="1"/>
  <c r="BH60" i="1" s="1"/>
  <c r="BG61" i="1"/>
  <c r="BG62" i="1"/>
  <c r="BG63" i="1"/>
  <c r="BG64" i="1"/>
  <c r="BG65" i="1"/>
  <c r="BH65" i="1" s="1"/>
  <c r="BG66" i="1"/>
  <c r="BH66" i="1" s="1"/>
  <c r="BG67" i="1"/>
  <c r="BH67" i="1" s="1"/>
  <c r="BG68" i="1"/>
  <c r="BH68" i="1" s="1"/>
  <c r="BG69" i="1"/>
  <c r="BH69" i="1" s="1"/>
  <c r="BG70" i="1"/>
  <c r="BG71" i="1"/>
  <c r="BH71" i="1" s="1"/>
  <c r="BG72" i="1"/>
  <c r="BH72" i="1" s="1"/>
  <c r="BG73" i="1"/>
  <c r="BH73" i="1" s="1"/>
  <c r="BG74" i="1"/>
  <c r="BG75" i="1"/>
  <c r="BG76" i="1"/>
  <c r="BG77" i="1"/>
  <c r="BH77" i="1" s="1"/>
  <c r="BG78" i="1"/>
  <c r="BH78" i="1" s="1"/>
  <c r="BG79" i="1"/>
  <c r="BH79" i="1" s="1"/>
  <c r="BG80" i="1"/>
  <c r="BH80" i="1" s="1"/>
  <c r="BG81" i="1"/>
  <c r="BH81" i="1" s="1"/>
  <c r="BG82" i="1"/>
  <c r="BG83" i="1"/>
  <c r="BH83" i="1" s="1"/>
  <c r="BG84" i="1"/>
  <c r="BG85" i="1"/>
  <c r="BH85" i="1" s="1"/>
  <c r="BG86" i="1"/>
  <c r="BG87" i="1"/>
  <c r="BG88" i="1"/>
  <c r="BH88" i="1" s="1"/>
  <c r="BG89" i="1"/>
  <c r="BH89" i="1" s="1"/>
  <c r="BG90" i="1"/>
  <c r="BG91" i="1"/>
  <c r="BH91" i="1" s="1"/>
  <c r="BG92" i="1"/>
  <c r="BG93" i="1"/>
  <c r="BH93" i="1" s="1"/>
  <c r="BG94" i="1"/>
  <c r="BG95" i="1"/>
  <c r="BG96" i="1"/>
  <c r="BG97" i="1"/>
  <c r="BG98" i="1"/>
  <c r="BH98" i="1" s="1"/>
  <c r="BG99" i="1"/>
  <c r="BG100" i="1"/>
  <c r="BH100" i="1" s="1"/>
  <c r="BG101" i="1"/>
  <c r="BH101" i="1" s="1"/>
  <c r="BG102" i="1"/>
  <c r="BG103" i="1"/>
  <c r="BG104" i="1"/>
  <c r="BG105" i="1"/>
  <c r="BH105" i="1" s="1"/>
  <c r="BG106" i="1"/>
  <c r="BG107" i="1"/>
  <c r="BH107" i="1" s="1"/>
  <c r="BG108" i="1"/>
  <c r="BH108" i="1" s="1"/>
  <c r="BG109" i="1"/>
  <c r="BG110" i="1"/>
  <c r="BG111" i="1"/>
  <c r="BH111" i="1" s="1"/>
  <c r="BG112" i="1"/>
  <c r="BH112" i="1" s="1"/>
  <c r="BG113" i="1"/>
  <c r="BH113" i="1" s="1"/>
  <c r="BG114" i="1"/>
  <c r="BG115" i="1"/>
  <c r="BG116" i="1"/>
  <c r="BH116" i="1" s="1"/>
  <c r="BG117" i="1"/>
  <c r="BH117" i="1" s="1"/>
  <c r="BG118" i="1"/>
  <c r="BH118" i="1" s="1"/>
  <c r="BG119" i="1"/>
  <c r="BG121" i="1"/>
  <c r="BG122" i="1"/>
  <c r="BG123" i="1"/>
  <c r="BG124" i="1"/>
  <c r="BH124" i="1" s="1"/>
  <c r="BG125" i="1"/>
  <c r="BH125" i="1" s="1"/>
  <c r="BG126" i="1"/>
  <c r="BG127" i="1"/>
  <c r="BG128" i="1"/>
  <c r="BH128" i="1" s="1"/>
  <c r="BG129" i="1"/>
  <c r="BG130" i="1"/>
  <c r="BG131" i="1"/>
  <c r="BG132" i="1"/>
  <c r="BG133" i="1"/>
  <c r="BG134" i="1"/>
  <c r="BG135" i="1"/>
  <c r="BG136" i="1"/>
  <c r="BG137" i="1"/>
  <c r="BH137" i="1" s="1"/>
  <c r="BG138" i="1"/>
  <c r="BG139" i="1"/>
  <c r="BG140" i="1"/>
  <c r="BH140" i="1" s="1"/>
  <c r="BG141" i="1"/>
  <c r="BG142" i="1"/>
  <c r="BG143" i="1"/>
  <c r="BH143" i="1" s="1"/>
  <c r="BG144" i="1"/>
  <c r="BG145" i="1"/>
  <c r="BG146" i="1"/>
  <c r="BG147" i="1"/>
  <c r="BG148" i="1"/>
  <c r="BG149" i="1"/>
  <c r="BH149" i="1" s="1"/>
  <c r="BG150" i="1"/>
  <c r="BG151" i="1"/>
  <c r="BG152" i="1"/>
  <c r="BH152" i="1" s="1"/>
  <c r="BG153" i="1"/>
  <c r="BH153" i="1" s="1"/>
  <c r="BG154" i="1"/>
  <c r="BG155" i="1"/>
  <c r="BG156" i="1"/>
  <c r="BG157" i="1"/>
  <c r="BG158" i="1"/>
  <c r="BG159" i="1"/>
  <c r="BG160" i="1"/>
  <c r="BH160" i="1" s="1"/>
  <c r="BG161" i="1"/>
  <c r="BG162" i="1"/>
  <c r="BG163" i="1"/>
  <c r="BG164" i="1"/>
  <c r="BG165" i="1"/>
  <c r="BG166" i="1"/>
  <c r="BG167" i="1"/>
  <c r="BH167" i="1" s="1"/>
  <c r="BG168" i="1"/>
  <c r="BG169" i="1"/>
  <c r="BG170" i="1"/>
  <c r="BG171" i="1"/>
  <c r="BG172" i="1"/>
  <c r="BH172" i="1" s="1"/>
  <c r="BG173" i="1"/>
  <c r="BH173" i="1" s="1"/>
  <c r="BG174" i="1"/>
  <c r="BG175" i="1"/>
  <c r="BG176" i="1"/>
  <c r="BH176" i="1" s="1"/>
  <c r="BG177" i="1"/>
  <c r="BG178" i="1"/>
  <c r="BG179" i="1"/>
  <c r="BH179" i="1" s="1"/>
  <c r="BG180" i="1"/>
  <c r="BG183" i="1"/>
  <c r="F149" i="1"/>
  <c r="F117" i="1"/>
  <c r="F126" i="1"/>
  <c r="F104" i="1"/>
  <c r="F88" i="1"/>
  <c r="F10" i="1"/>
  <c r="F95" i="1"/>
  <c r="F69" i="1"/>
  <c r="F61" i="1"/>
  <c r="F37" i="1"/>
  <c r="F97" i="1"/>
  <c r="F83" i="1"/>
  <c r="F144" i="1"/>
  <c r="F16" i="1"/>
  <c r="F174" i="1"/>
  <c r="F92" i="1"/>
  <c r="F157" i="1"/>
  <c r="F46" i="1"/>
  <c r="F122" i="1"/>
  <c r="F151" i="1"/>
  <c r="F63" i="1"/>
  <c r="F163" i="1"/>
  <c r="F21" i="1"/>
  <c r="F53" i="1"/>
  <c r="F68" i="1"/>
  <c r="F3" i="1"/>
  <c r="F175" i="1"/>
  <c r="F22" i="1"/>
  <c r="F116" i="1"/>
  <c r="F115" i="1"/>
  <c r="F74" i="1"/>
  <c r="F39" i="1"/>
  <c r="F143" i="1"/>
  <c r="F181" i="1"/>
  <c r="F119" i="1"/>
  <c r="F114" i="1"/>
  <c r="F35" i="1"/>
  <c r="F146" i="1"/>
  <c r="F30" i="1"/>
  <c r="F145" i="1"/>
  <c r="F85" i="1"/>
  <c r="F14" i="1"/>
  <c r="F134" i="1"/>
  <c r="F169" i="1"/>
  <c r="F31" i="1"/>
  <c r="F142" i="1"/>
  <c r="F132" i="1"/>
  <c r="F75" i="1"/>
  <c r="F5" i="1"/>
  <c r="F71" i="1"/>
  <c r="F26" i="1"/>
  <c r="F168" i="1"/>
  <c r="F84" i="1"/>
  <c r="F141" i="1"/>
  <c r="F51" i="1"/>
  <c r="F45" i="1"/>
  <c r="F44" i="1"/>
  <c r="F170" i="1"/>
  <c r="F109" i="1"/>
  <c r="F140" i="1"/>
  <c r="F159" i="1"/>
  <c r="F176" i="1"/>
  <c r="F38" i="1"/>
  <c r="F130" i="1"/>
  <c r="F17" i="1"/>
  <c r="F138" i="1"/>
  <c r="F91" i="1"/>
  <c r="F11" i="1"/>
  <c r="F60" i="1"/>
  <c r="F23" i="1"/>
  <c r="F4" i="1"/>
  <c r="F59" i="1"/>
  <c r="F105" i="1"/>
  <c r="F183" i="1"/>
  <c r="F98" i="1"/>
  <c r="F9" i="1"/>
  <c r="F65" i="1"/>
  <c r="F100" i="1"/>
  <c r="F6" i="1"/>
  <c r="F180" i="1"/>
  <c r="F182" i="1"/>
  <c r="F136" i="1"/>
  <c r="F50" i="1"/>
  <c r="F172" i="1"/>
  <c r="F147" i="1"/>
  <c r="F66" i="1"/>
  <c r="F120" i="1"/>
  <c r="F161" i="1"/>
  <c r="F150" i="1"/>
  <c r="F52" i="1"/>
  <c r="F32" i="1"/>
  <c r="F101" i="1"/>
  <c r="F7" i="1"/>
  <c r="F99" i="1"/>
  <c r="F112" i="1"/>
  <c r="F128" i="1"/>
  <c r="F108" i="1"/>
  <c r="F171" i="1"/>
  <c r="F64" i="1"/>
  <c r="F94" i="1"/>
  <c r="F107" i="1"/>
  <c r="F156" i="1"/>
  <c r="F56" i="1"/>
  <c r="F36" i="1"/>
  <c r="F49" i="1"/>
  <c r="F158" i="1"/>
  <c r="F67" i="1"/>
  <c r="F18" i="1"/>
  <c r="F165" i="1"/>
  <c r="F58" i="1"/>
  <c r="F29" i="1"/>
  <c r="F96" i="1"/>
  <c r="F40" i="1"/>
  <c r="F110" i="1"/>
  <c r="F137" i="1"/>
  <c r="F34" i="1"/>
  <c r="F123" i="1"/>
  <c r="F131" i="1"/>
  <c r="F43" i="1"/>
  <c r="F87" i="1"/>
  <c r="F90" i="1"/>
  <c r="F19" i="1"/>
  <c r="F102" i="1"/>
  <c r="F103" i="1"/>
  <c r="F106" i="1"/>
  <c r="F133" i="1"/>
  <c r="F93" i="1"/>
  <c r="F166" i="1"/>
  <c r="F47" i="1"/>
  <c r="F111" i="1"/>
  <c r="F113" i="1"/>
  <c r="F33" i="1"/>
  <c r="F82" i="1"/>
  <c r="F160" i="1"/>
  <c r="F13" i="1"/>
  <c r="F148" i="1"/>
  <c r="F27" i="1"/>
  <c r="F129" i="1"/>
  <c r="F154" i="1"/>
  <c r="F25" i="1"/>
  <c r="F15" i="1"/>
  <c r="F20" i="1"/>
  <c r="F124" i="1"/>
  <c r="F127" i="1"/>
  <c r="F167" i="1"/>
  <c r="F42" i="1"/>
  <c r="BH135" i="1" l="1"/>
  <c r="BH84" i="1"/>
  <c r="BH74" i="1"/>
  <c r="BH62" i="1"/>
  <c r="BH50" i="1"/>
  <c r="BH38" i="1"/>
  <c r="BH26" i="1"/>
  <c r="BH14" i="1"/>
  <c r="BH7" i="1"/>
  <c r="BH56" i="1"/>
  <c r="BH4" i="1"/>
  <c r="BH82" i="1"/>
  <c r="BH70" i="1"/>
  <c r="BH61" i="1"/>
  <c r="BH33" i="1"/>
  <c r="BH19" i="1"/>
  <c r="BH148" i="1"/>
  <c r="BH42" i="1"/>
  <c r="BH76" i="1"/>
  <c r="BH64" i="1"/>
  <c r="BH75" i="1"/>
  <c r="BH63" i="1"/>
  <c r="BH51" i="1"/>
  <c r="BH39" i="1"/>
  <c r="BH27" i="1"/>
  <c r="BH15" i="1"/>
  <c r="BH41" i="1"/>
  <c r="BH3" i="1"/>
  <c r="BH95" i="1"/>
  <c r="BH99" i="1"/>
  <c r="BH87" i="1"/>
  <c r="U5" i="1"/>
  <c r="AZ120" i="1"/>
  <c r="AB120" i="1"/>
  <c r="U120" i="1"/>
  <c r="AX52" i="1"/>
  <c r="AL120" i="1"/>
  <c r="AJ120" i="1"/>
  <c r="AH120" i="1"/>
  <c r="AF120" i="1"/>
  <c r="AV4" i="1"/>
  <c r="W120" i="1"/>
  <c r="AX120" i="1"/>
  <c r="AV120" i="1"/>
  <c r="BH103" i="1"/>
  <c r="AT120" i="1"/>
  <c r="BB35" i="1"/>
  <c r="AR144" i="1"/>
  <c r="BB23" i="1"/>
  <c r="AR59" i="1"/>
  <c r="AZ119" i="1"/>
  <c r="AN83" i="1"/>
  <c r="AZ11" i="1"/>
  <c r="AL35" i="1"/>
  <c r="AX59" i="1"/>
  <c r="AJ59" i="1"/>
  <c r="AF47" i="1"/>
  <c r="AX35" i="1"/>
  <c r="AV107" i="1"/>
  <c r="BH120" i="1"/>
  <c r="AT144" i="1"/>
  <c r="BB107" i="1"/>
  <c r="AT59" i="1"/>
  <c r="BB71" i="1"/>
  <c r="AT11" i="1"/>
  <c r="BB120" i="1"/>
  <c r="AD120" i="1"/>
  <c r="AR120" i="1"/>
  <c r="AP120" i="1"/>
  <c r="AZ71" i="1"/>
  <c r="AV59" i="1"/>
  <c r="AP47" i="1"/>
  <c r="BB180" i="1"/>
  <c r="AZ35" i="1"/>
  <c r="AV23" i="1"/>
  <c r="AP35" i="1"/>
  <c r="BB144" i="1"/>
  <c r="AZ23" i="1"/>
  <c r="AN156" i="1"/>
  <c r="BB95" i="1"/>
  <c r="AX71" i="1"/>
  <c r="AT71" i="1"/>
  <c r="AN23" i="1"/>
  <c r="AL59" i="1"/>
  <c r="BB11" i="1"/>
  <c r="AX23" i="1"/>
  <c r="AR95" i="1"/>
  <c r="AH168" i="1"/>
  <c r="AZ132" i="1"/>
  <c r="AV119" i="1"/>
  <c r="AR83" i="1"/>
  <c r="AF132" i="1"/>
  <c r="AZ83" i="1"/>
  <c r="AV71" i="1"/>
  <c r="AP71" i="1"/>
  <c r="U71" i="1"/>
  <c r="BB47" i="1"/>
  <c r="AX180" i="1"/>
  <c r="AP23" i="1"/>
  <c r="BH115" i="1"/>
  <c r="AZ156" i="1"/>
  <c r="AV180" i="1"/>
  <c r="BB83" i="1"/>
  <c r="AZ47" i="1"/>
  <c r="AX11" i="1"/>
  <c r="AT47" i="1"/>
  <c r="AN119" i="1"/>
  <c r="AX121" i="1"/>
  <c r="AZ180" i="1"/>
  <c r="AX83" i="1"/>
  <c r="AV35" i="1"/>
  <c r="AR35" i="1"/>
  <c r="AJ35" i="1"/>
  <c r="AT132" i="1"/>
  <c r="AP180" i="1"/>
  <c r="AT119" i="1"/>
  <c r="AP144" i="1"/>
  <c r="AJ132" i="1"/>
  <c r="BB52" i="1"/>
  <c r="AX144" i="1"/>
  <c r="AR156" i="1"/>
  <c r="AP4" i="1"/>
  <c r="BB168" i="1"/>
  <c r="AZ168" i="1"/>
  <c r="AX168" i="1"/>
  <c r="AV132" i="1"/>
  <c r="AT95" i="1"/>
  <c r="AR11" i="1"/>
  <c r="AN11" i="1"/>
  <c r="AT3" i="1"/>
  <c r="AV24" i="1"/>
  <c r="AH180" i="1"/>
  <c r="AZ33" i="1"/>
  <c r="AX9" i="1"/>
  <c r="AT39" i="1"/>
  <c r="AP107" i="1"/>
  <c r="AL180" i="1"/>
  <c r="BH110" i="1"/>
  <c r="AP16" i="1"/>
  <c r="AT100" i="1"/>
  <c r="BB88" i="1"/>
  <c r="BH106" i="1"/>
  <c r="U16" i="1"/>
  <c r="BH119" i="1"/>
  <c r="BB132" i="1"/>
  <c r="BB3" i="1"/>
  <c r="AX47" i="1"/>
  <c r="AV47" i="1"/>
  <c r="AT83" i="1"/>
  <c r="AR71" i="1"/>
  <c r="AL23" i="1"/>
  <c r="BH94" i="1"/>
  <c r="BH96" i="1"/>
  <c r="AZ3" i="1"/>
  <c r="AP3" i="1"/>
  <c r="BH104" i="1"/>
  <c r="BH92" i="1"/>
  <c r="AV3" i="1"/>
  <c r="AT15" i="1"/>
  <c r="BB59" i="1"/>
  <c r="AZ95" i="1"/>
  <c r="AX132" i="1"/>
  <c r="AV168" i="1"/>
  <c r="AT168" i="1"/>
  <c r="AP132" i="1"/>
  <c r="AN71" i="1"/>
  <c r="AH59" i="1"/>
  <c r="BH121" i="1"/>
  <c r="BH123" i="1"/>
  <c r="BB119" i="1"/>
  <c r="BB21" i="1"/>
  <c r="AZ59" i="1"/>
  <c r="AX95" i="1"/>
  <c r="AV144" i="1"/>
  <c r="AT180" i="1"/>
  <c r="AT23" i="1"/>
  <c r="AR23" i="1"/>
  <c r="AL11" i="1"/>
  <c r="AR132" i="1"/>
  <c r="AP83" i="1"/>
  <c r="BH122" i="1"/>
  <c r="BH109" i="1"/>
  <c r="BH97" i="1"/>
  <c r="BB51" i="1"/>
  <c r="BB142" i="1"/>
  <c r="AZ75" i="1"/>
  <c r="AZ98" i="1"/>
  <c r="AR168" i="1"/>
  <c r="AP156" i="1"/>
  <c r="AN168" i="1"/>
  <c r="AJ180" i="1"/>
  <c r="AV14" i="1"/>
  <c r="BH114" i="1"/>
  <c r="BH102" i="1"/>
  <c r="BH90" i="1"/>
  <c r="AX87" i="1"/>
  <c r="AZ124" i="1"/>
  <c r="AV99" i="1"/>
  <c r="BB27" i="1"/>
  <c r="AZ121" i="1"/>
  <c r="AZ39" i="1"/>
  <c r="AX111" i="1"/>
  <c r="AV63" i="1"/>
  <c r="AT156" i="1"/>
  <c r="AR51" i="1"/>
  <c r="AP59" i="1"/>
  <c r="AN27" i="1"/>
  <c r="AJ95" i="1"/>
  <c r="BH86" i="1"/>
  <c r="AV39" i="1"/>
  <c r="AT124" i="1"/>
  <c r="BB172" i="1"/>
  <c r="BB75" i="1"/>
  <c r="AZ87" i="1"/>
  <c r="AX75" i="1"/>
  <c r="AL124" i="1"/>
  <c r="BB171" i="1"/>
  <c r="AP160" i="1"/>
  <c r="AL98" i="1"/>
  <c r="AZ172" i="1"/>
  <c r="AZ81" i="1"/>
  <c r="BB50" i="1"/>
  <c r="AZ136" i="1"/>
  <c r="AZ63" i="1"/>
  <c r="AX136" i="1"/>
  <c r="AV86" i="1"/>
  <c r="U39" i="1"/>
  <c r="BB124" i="1"/>
  <c r="AX27" i="1"/>
  <c r="AV74" i="1"/>
  <c r="BB99" i="1"/>
  <c r="BB39" i="1"/>
  <c r="AZ144" i="1"/>
  <c r="AZ80" i="1"/>
  <c r="AZ15" i="1"/>
  <c r="AX107" i="1"/>
  <c r="AX15" i="1"/>
  <c r="AV95" i="1"/>
  <c r="AT99" i="1"/>
  <c r="AR180" i="1"/>
  <c r="AR47" i="1"/>
  <c r="AP95" i="1"/>
  <c r="AN132" i="1"/>
  <c r="AL156" i="1"/>
  <c r="AJ11" i="1"/>
  <c r="AN75" i="1"/>
  <c r="AR136" i="1"/>
  <c r="AR9" i="1"/>
  <c r="AH15" i="1"/>
  <c r="BB148" i="1"/>
  <c r="BB74" i="1"/>
  <c r="BB15" i="1"/>
  <c r="AZ57" i="1"/>
  <c r="AX166" i="1"/>
  <c r="AV160" i="1"/>
  <c r="AT50" i="1"/>
  <c r="AN45" i="1"/>
  <c r="AZ99" i="1"/>
  <c r="AZ51" i="1"/>
  <c r="AX156" i="1"/>
  <c r="AV156" i="1"/>
  <c r="AT136" i="1"/>
  <c r="AR107" i="1"/>
  <c r="AP168" i="1"/>
  <c r="AN35" i="1"/>
  <c r="AF59" i="1"/>
  <c r="AT111" i="1"/>
  <c r="AN3" i="1"/>
  <c r="BB156" i="1"/>
  <c r="BB93" i="1"/>
  <c r="BB38" i="1"/>
  <c r="AZ173" i="1"/>
  <c r="AZ107" i="1"/>
  <c r="AZ62" i="1"/>
  <c r="AZ4" i="1"/>
  <c r="AX119" i="1"/>
  <c r="AX51" i="1"/>
  <c r="AV172" i="1"/>
  <c r="AV83" i="1"/>
  <c r="AV11" i="1"/>
  <c r="AT107" i="1"/>
  <c r="AT35" i="1"/>
  <c r="AR119" i="1"/>
  <c r="AR27" i="1"/>
  <c r="AP119" i="1"/>
  <c r="AP11" i="1"/>
  <c r="AN47" i="1"/>
  <c r="AL83" i="1"/>
  <c r="BB28" i="1"/>
  <c r="AX40" i="1"/>
  <c r="AR100" i="1"/>
  <c r="AH125" i="1"/>
  <c r="AX173" i="1"/>
  <c r="AN28" i="1"/>
  <c r="AZ149" i="1"/>
  <c r="AX88" i="1"/>
  <c r="AX28" i="1"/>
  <c r="AV149" i="1"/>
  <c r="AR4" i="1"/>
  <c r="AP76" i="1"/>
  <c r="BB125" i="1"/>
  <c r="AZ86" i="1"/>
  <c r="AZ40" i="1"/>
  <c r="AV52" i="1"/>
  <c r="AN137" i="1"/>
  <c r="BB16" i="1"/>
  <c r="AZ137" i="1"/>
  <c r="AX26" i="1"/>
  <c r="AT62" i="1"/>
  <c r="AR63" i="1"/>
  <c r="AF125" i="1"/>
  <c r="AP52" i="1"/>
  <c r="AT52" i="1"/>
  <c r="AR52" i="1"/>
  <c r="BB100" i="1"/>
  <c r="BB4" i="1"/>
  <c r="AX64" i="1"/>
  <c r="AR137" i="1"/>
  <c r="AP149" i="1"/>
  <c r="AN76" i="1"/>
  <c r="AJ52" i="1"/>
  <c r="AX125" i="1"/>
  <c r="BB178" i="1"/>
  <c r="BB129" i="1"/>
  <c r="BB87" i="1"/>
  <c r="AZ125" i="1"/>
  <c r="AX123" i="1"/>
  <c r="AV148" i="1"/>
  <c r="AV98" i="1"/>
  <c r="AV51" i="1"/>
  <c r="AT172" i="1"/>
  <c r="AT51" i="1"/>
  <c r="AR183" i="1"/>
  <c r="AR38" i="1"/>
  <c r="AL88" i="1"/>
  <c r="AJ125" i="1"/>
  <c r="AV137" i="1"/>
  <c r="AV88" i="1"/>
  <c r="AT161" i="1"/>
  <c r="AR173" i="1"/>
  <c r="AL68" i="1"/>
  <c r="BB161" i="1"/>
  <c r="BB110" i="1"/>
  <c r="AZ161" i="1"/>
  <c r="AZ116" i="1"/>
  <c r="AZ74" i="1"/>
  <c r="AX160" i="1"/>
  <c r="AX4" i="1"/>
  <c r="AV125" i="1"/>
  <c r="AV26" i="1"/>
  <c r="AT154" i="1"/>
  <c r="AR161" i="1"/>
  <c r="AR76" i="1"/>
  <c r="AR21" i="1"/>
  <c r="AP28" i="1"/>
  <c r="AN112" i="1"/>
  <c r="AN16" i="1"/>
  <c r="AF3" i="1"/>
  <c r="BB64" i="1"/>
  <c r="AZ159" i="1"/>
  <c r="AZ112" i="1"/>
  <c r="AZ28" i="1"/>
  <c r="AX159" i="1"/>
  <c r="AX99" i="1"/>
  <c r="AV124" i="1"/>
  <c r="AV76" i="1"/>
  <c r="AT76" i="1"/>
  <c r="AT28" i="1"/>
  <c r="AR75" i="1"/>
  <c r="AR15" i="1"/>
  <c r="AP112" i="1"/>
  <c r="AN99" i="1"/>
  <c r="AL28" i="1"/>
  <c r="W86" i="1"/>
  <c r="BB149" i="1"/>
  <c r="BB105" i="1"/>
  <c r="BB63" i="1"/>
  <c r="AZ64" i="1"/>
  <c r="AZ27" i="1"/>
  <c r="AX45" i="1"/>
  <c r="AV173" i="1"/>
  <c r="AV123" i="1"/>
  <c r="AV75" i="1"/>
  <c r="AT137" i="1"/>
  <c r="AT75" i="1"/>
  <c r="AT27" i="1"/>
  <c r="AP22" i="1"/>
  <c r="AN4" i="1"/>
  <c r="AJ4" i="1"/>
  <c r="U88" i="1"/>
  <c r="AX137" i="1"/>
  <c r="AV112" i="1"/>
  <c r="AT64" i="1"/>
  <c r="AL4" i="1"/>
  <c r="U52" i="1"/>
  <c r="BB183" i="1"/>
  <c r="BB137" i="1"/>
  <c r="AX76" i="1"/>
  <c r="AV100" i="1"/>
  <c r="AT4" i="1"/>
  <c r="AR125" i="1"/>
  <c r="AP74" i="1"/>
  <c r="AJ161" i="1"/>
  <c r="U26" i="1"/>
  <c r="BB173" i="1"/>
  <c r="BB136" i="1"/>
  <c r="BB98" i="1"/>
  <c r="BB62" i="1"/>
  <c r="AZ123" i="1"/>
  <c r="AZ52" i="1"/>
  <c r="AX148" i="1"/>
  <c r="AX100" i="1"/>
  <c r="AX57" i="1"/>
  <c r="AX16" i="1"/>
  <c r="AV154" i="1"/>
  <c r="AV16" i="1"/>
  <c r="AT87" i="1"/>
  <c r="AR112" i="1"/>
  <c r="AR62" i="1"/>
  <c r="AR16" i="1"/>
  <c r="AP135" i="1"/>
  <c r="AP64" i="1"/>
  <c r="AP15" i="1"/>
  <c r="AN84" i="1"/>
  <c r="AL76" i="1"/>
  <c r="AJ112" i="1"/>
  <c r="AH111" i="1"/>
  <c r="AD27" i="1"/>
  <c r="AR111" i="1"/>
  <c r="AP63" i="1"/>
  <c r="AH75" i="1"/>
  <c r="AB135" i="1"/>
  <c r="AX178" i="1"/>
  <c r="AR160" i="1"/>
  <c r="AF172" i="1"/>
  <c r="U87" i="1"/>
  <c r="BB160" i="1"/>
  <c r="BB9" i="1"/>
  <c r="AZ148" i="1"/>
  <c r="AZ111" i="1"/>
  <c r="AZ38" i="1"/>
  <c r="AX86" i="1"/>
  <c r="AX3" i="1"/>
  <c r="AV136" i="1"/>
  <c r="AR88" i="1"/>
  <c r="AR40" i="1"/>
  <c r="AR3" i="1"/>
  <c r="AP100" i="1"/>
  <c r="AP40" i="1"/>
  <c r="AN161" i="1"/>
  <c r="AN64" i="1"/>
  <c r="AJ27" i="1"/>
  <c r="AF161" i="1"/>
  <c r="BB111" i="1"/>
  <c r="BB76" i="1"/>
  <c r="BB45" i="1"/>
  <c r="BB8" i="1"/>
  <c r="AZ69" i="1"/>
  <c r="AX172" i="1"/>
  <c r="AX124" i="1"/>
  <c r="AX39" i="1"/>
  <c r="AV87" i="1"/>
  <c r="AV40" i="1"/>
  <c r="AT173" i="1"/>
  <c r="AT112" i="1"/>
  <c r="AT63" i="1"/>
  <c r="AT16" i="1"/>
  <c r="AR87" i="1"/>
  <c r="AR39" i="1"/>
  <c r="AP99" i="1"/>
  <c r="AP38" i="1"/>
  <c r="AN52" i="1"/>
  <c r="AL172" i="1"/>
  <c r="U67" i="1"/>
  <c r="AH153" i="1"/>
  <c r="AF15" i="1"/>
  <c r="U21" i="1"/>
  <c r="BB81" i="1"/>
  <c r="AV45" i="1"/>
  <c r="AT93" i="1"/>
  <c r="AR154" i="1"/>
  <c r="AR99" i="1"/>
  <c r="AP75" i="1"/>
  <c r="AP33" i="1"/>
  <c r="AL136" i="1"/>
  <c r="AL29" i="1"/>
  <c r="AJ130" i="1"/>
  <c r="AJ3" i="1"/>
  <c r="AH3" i="1"/>
  <c r="AD99" i="1"/>
  <c r="U9" i="1"/>
  <c r="AZ154" i="1"/>
  <c r="AZ21" i="1"/>
  <c r="AP124" i="1"/>
  <c r="AN160" i="1"/>
  <c r="AL111" i="1"/>
  <c r="AL27" i="1"/>
  <c r="AD9" i="1"/>
  <c r="U63" i="1"/>
  <c r="AV105" i="1"/>
  <c r="AT81" i="1"/>
  <c r="AJ105" i="1"/>
  <c r="U57" i="1"/>
  <c r="AT45" i="1"/>
  <c r="AP21" i="1"/>
  <c r="AL21" i="1"/>
  <c r="AH130" i="1"/>
  <c r="AB124" i="1"/>
  <c r="BB33" i="1"/>
  <c r="AZ45" i="1"/>
  <c r="AZ9" i="1"/>
  <c r="AX154" i="1"/>
  <c r="AV142" i="1"/>
  <c r="AV69" i="1"/>
  <c r="AT117" i="1"/>
  <c r="AR81" i="1"/>
  <c r="AP111" i="1"/>
  <c r="AN136" i="1"/>
  <c r="AL87" i="1"/>
  <c r="AL15" i="1"/>
  <c r="AF117" i="1"/>
  <c r="AB57" i="1"/>
  <c r="U45" i="1"/>
  <c r="AZ178" i="1"/>
  <c r="AZ142" i="1"/>
  <c r="W136" i="1"/>
  <c r="AZ105" i="1"/>
  <c r="AX105" i="1"/>
  <c r="AX69" i="1"/>
  <c r="AX33" i="1"/>
  <c r="AV178" i="1"/>
  <c r="AV21" i="1"/>
  <c r="AT160" i="1"/>
  <c r="AT69" i="1"/>
  <c r="AT33" i="1"/>
  <c r="AR117" i="1"/>
  <c r="AP51" i="1"/>
  <c r="AN124" i="1"/>
  <c r="AN51" i="1"/>
  <c r="AL9" i="1"/>
  <c r="AJ51" i="1"/>
  <c r="AH99" i="1"/>
  <c r="AF51" i="1"/>
  <c r="W99" i="1"/>
  <c r="U32" i="1"/>
  <c r="AX142" i="1"/>
  <c r="AV93" i="1"/>
  <c r="AV57" i="1"/>
  <c r="AP154" i="1"/>
  <c r="AZ166" i="1"/>
  <c r="AN178" i="1"/>
  <c r="AL154" i="1"/>
  <c r="AL57" i="1"/>
  <c r="BB154" i="1"/>
  <c r="BB117" i="1"/>
  <c r="AZ93" i="1"/>
  <c r="AX93" i="1"/>
  <c r="AX53" i="1"/>
  <c r="AV9" i="1"/>
  <c r="AT142" i="1"/>
  <c r="AT21" i="1"/>
  <c r="AP136" i="1"/>
  <c r="AN172" i="1"/>
  <c r="AN93" i="1"/>
  <c r="AN33" i="1"/>
  <c r="AL148" i="1"/>
  <c r="AH9" i="1"/>
  <c r="AD172" i="1"/>
  <c r="U81" i="1"/>
  <c r="U15" i="1"/>
  <c r="BB166" i="1"/>
  <c r="BB130" i="1"/>
  <c r="BB69" i="1"/>
  <c r="BB40" i="1"/>
  <c r="AZ160" i="1"/>
  <c r="AZ130" i="1"/>
  <c r="AZ100" i="1"/>
  <c r="AZ76" i="1"/>
  <c r="AZ50" i="1"/>
  <c r="AZ16" i="1"/>
  <c r="AX161" i="1"/>
  <c r="AX63" i="1"/>
  <c r="AX34" i="1"/>
  <c r="AV147" i="1"/>
  <c r="AV111" i="1"/>
  <c r="AV81" i="1"/>
  <c r="AV15" i="1"/>
  <c r="AT166" i="1"/>
  <c r="AT125" i="1"/>
  <c r="AT88" i="1"/>
  <c r="AT57" i="1"/>
  <c r="AR124" i="1"/>
  <c r="AR50" i="1"/>
  <c r="AP148" i="1"/>
  <c r="AP103" i="1"/>
  <c r="AP69" i="1"/>
  <c r="AN166" i="1"/>
  <c r="AN117" i="1"/>
  <c r="AN63" i="1"/>
  <c r="AN15" i="1"/>
  <c r="AL137" i="1"/>
  <c r="AL75" i="1"/>
  <c r="AL16" i="1"/>
  <c r="AJ124" i="1"/>
  <c r="AJ16" i="1"/>
  <c r="AH124" i="1"/>
  <c r="AD81" i="1"/>
  <c r="U92" i="1"/>
  <c r="U51" i="1"/>
  <c r="AP137" i="1"/>
  <c r="AN100" i="1"/>
  <c r="AL125" i="1"/>
  <c r="U40" i="1"/>
  <c r="AZ94" i="1"/>
  <c r="AX155" i="1"/>
  <c r="AP94" i="1"/>
  <c r="AN149" i="1"/>
  <c r="AL52" i="1"/>
  <c r="AJ76" i="1"/>
  <c r="U76" i="1"/>
  <c r="BB58" i="1"/>
  <c r="AV28" i="1"/>
  <c r="AT149" i="1"/>
  <c r="AT10" i="1"/>
  <c r="AR149" i="1"/>
  <c r="AR69" i="1"/>
  <c r="AP173" i="1"/>
  <c r="AP88" i="1"/>
  <c r="AN148" i="1"/>
  <c r="AN87" i="1"/>
  <c r="AN39" i="1"/>
  <c r="AL178" i="1"/>
  <c r="AL100" i="1"/>
  <c r="AL39" i="1"/>
  <c r="AL3" i="1"/>
  <c r="AJ64" i="1"/>
  <c r="AH172" i="1"/>
  <c r="AH52" i="1"/>
  <c r="AF50" i="1"/>
  <c r="AB117" i="1"/>
  <c r="U75" i="1"/>
  <c r="U28" i="1"/>
  <c r="BB112" i="1"/>
  <c r="BB57" i="1"/>
  <c r="AZ176" i="1"/>
  <c r="AZ147" i="1"/>
  <c r="AZ117" i="1"/>
  <c r="AZ88" i="1"/>
  <c r="AX149" i="1"/>
  <c r="AX112" i="1"/>
  <c r="AX81" i="1"/>
  <c r="AX50" i="1"/>
  <c r="AX21" i="1"/>
  <c r="AV161" i="1"/>
  <c r="AV130" i="1"/>
  <c r="AV64" i="1"/>
  <c r="AV27" i="1"/>
  <c r="AT183" i="1"/>
  <c r="AT148" i="1"/>
  <c r="AT110" i="1"/>
  <c r="AT40" i="1"/>
  <c r="AT9" i="1"/>
  <c r="AR148" i="1"/>
  <c r="AR105" i="1"/>
  <c r="AR64" i="1"/>
  <c r="AR28" i="1"/>
  <c r="AP172" i="1"/>
  <c r="AP125" i="1"/>
  <c r="AP87" i="1"/>
  <c r="AN147" i="1"/>
  <c r="AL173" i="1"/>
  <c r="AL99" i="1"/>
  <c r="AJ63" i="1"/>
  <c r="AH16" i="1"/>
  <c r="AB99" i="1"/>
  <c r="U27" i="1"/>
  <c r="BH145" i="1"/>
  <c r="BH133" i="1"/>
  <c r="AT179" i="1"/>
  <c r="AL161" i="1"/>
  <c r="AJ137" i="1"/>
  <c r="AH149" i="1"/>
  <c r="U64" i="1"/>
  <c r="AN173" i="1"/>
  <c r="AH129" i="1"/>
  <c r="AD130" i="1"/>
  <c r="W88" i="1"/>
  <c r="AP183" i="1"/>
  <c r="AP147" i="1"/>
  <c r="AL171" i="1"/>
  <c r="AL74" i="1"/>
  <c r="AJ14" i="1"/>
  <c r="BB135" i="1"/>
  <c r="AZ53" i="1"/>
  <c r="AX183" i="1"/>
  <c r="AX130" i="1"/>
  <c r="AX74" i="1"/>
  <c r="AX48" i="1"/>
  <c r="AX24" i="1"/>
  <c r="AV177" i="1"/>
  <c r="AV145" i="1"/>
  <c r="AV62" i="1"/>
  <c r="AV33" i="1"/>
  <c r="AT159" i="1"/>
  <c r="AT130" i="1"/>
  <c r="AT98" i="1"/>
  <c r="AT38" i="1"/>
  <c r="AR93" i="1"/>
  <c r="AP45" i="1"/>
  <c r="AP14" i="1"/>
  <c r="AN21" i="1"/>
  <c r="AL166" i="1"/>
  <c r="AL107" i="1"/>
  <c r="AL71" i="1"/>
  <c r="AJ75" i="1"/>
  <c r="AF93" i="1"/>
  <c r="AD57" i="1"/>
  <c r="W124" i="1"/>
  <c r="U80" i="1"/>
  <c r="U56" i="1"/>
  <c r="BB159" i="1"/>
  <c r="BB26" i="1"/>
  <c r="AZ26" i="1"/>
  <c r="AX98" i="1"/>
  <c r="AV117" i="1"/>
  <c r="AT157" i="1"/>
  <c r="AT129" i="1"/>
  <c r="AR123" i="1"/>
  <c r="AR57" i="1"/>
  <c r="AR26" i="1"/>
  <c r="AP178" i="1"/>
  <c r="AP142" i="1"/>
  <c r="AN96" i="1"/>
  <c r="AL105" i="1"/>
  <c r="AL69" i="1"/>
  <c r="AH147" i="1"/>
  <c r="AH45" i="1"/>
  <c r="AF69" i="1"/>
  <c r="AD38" i="1"/>
  <c r="W110" i="1"/>
  <c r="AX96" i="1"/>
  <c r="AV171" i="1"/>
  <c r="AT181" i="1"/>
  <c r="AN50" i="1"/>
  <c r="AN14" i="1"/>
  <c r="AJ62" i="1"/>
  <c r="AH183" i="1"/>
  <c r="U74" i="1"/>
  <c r="U50" i="1"/>
  <c r="U24" i="1"/>
  <c r="BB96" i="1"/>
  <c r="AZ171" i="1"/>
  <c r="AZ145" i="1"/>
  <c r="AX171" i="1"/>
  <c r="AX147" i="1"/>
  <c r="AX62" i="1"/>
  <c r="AX38" i="1"/>
  <c r="AX14" i="1"/>
  <c r="AV135" i="1"/>
  <c r="AV50" i="1"/>
  <c r="AT86" i="1"/>
  <c r="AT26" i="1"/>
  <c r="AP98" i="1"/>
  <c r="AL93" i="1"/>
  <c r="AH178" i="1"/>
  <c r="AB130" i="1"/>
  <c r="W9" i="1"/>
  <c r="U69" i="1"/>
  <c r="U44" i="1"/>
  <c r="U20" i="1"/>
  <c r="BB147" i="1"/>
  <c r="BB123" i="1"/>
  <c r="BB12" i="1"/>
  <c r="AZ169" i="1"/>
  <c r="AZ14" i="1"/>
  <c r="AX169" i="1"/>
  <c r="AX117" i="1"/>
  <c r="AV133" i="1"/>
  <c r="AR178" i="1"/>
  <c r="AR142" i="1"/>
  <c r="AR110" i="1"/>
  <c r="AR14" i="1"/>
  <c r="AP159" i="1"/>
  <c r="AP130" i="1"/>
  <c r="AP26" i="1"/>
  <c r="AN81" i="1"/>
  <c r="AL45" i="1"/>
  <c r="AL14" i="1"/>
  <c r="AH117" i="1"/>
  <c r="AF180" i="1"/>
  <c r="U93" i="1"/>
  <c r="U68" i="1"/>
  <c r="BB145" i="1"/>
  <c r="AZ12" i="1"/>
  <c r="AL135" i="1"/>
  <c r="AJ50" i="1"/>
  <c r="AH171" i="1"/>
  <c r="BH141" i="1"/>
  <c r="BB169" i="1"/>
  <c r="BB36" i="1"/>
  <c r="AR171" i="1"/>
  <c r="AL38" i="1"/>
  <c r="U38" i="1"/>
  <c r="U14" i="1"/>
  <c r="AZ84" i="1"/>
  <c r="AZ60" i="1"/>
  <c r="AV96" i="1"/>
  <c r="AR135" i="1"/>
  <c r="AJ86" i="1"/>
  <c r="AH159" i="1"/>
  <c r="U36" i="1"/>
  <c r="BB86" i="1"/>
  <c r="AZ135" i="1"/>
  <c r="AX135" i="1"/>
  <c r="AV38" i="1"/>
  <c r="AT135" i="1"/>
  <c r="AT14" i="1"/>
  <c r="AR166" i="1"/>
  <c r="AR33" i="1"/>
  <c r="AP117" i="1"/>
  <c r="AP86" i="1"/>
  <c r="AP50" i="1"/>
  <c r="AN105" i="1"/>
  <c r="AN69" i="1"/>
  <c r="AL117" i="1"/>
  <c r="AL33" i="1"/>
  <c r="AJ81" i="1"/>
  <c r="AH154" i="1"/>
  <c r="AH62" i="1"/>
  <c r="AB9" i="1"/>
  <c r="U86" i="1"/>
  <c r="U62" i="1"/>
  <c r="U33" i="1"/>
  <c r="U8" i="1"/>
  <c r="AT164" i="1"/>
  <c r="AT19" i="1"/>
  <c r="AR140" i="1"/>
  <c r="AN67" i="1"/>
  <c r="AL95" i="1"/>
  <c r="AJ71" i="1"/>
  <c r="AH23" i="1"/>
  <c r="AF119" i="1"/>
  <c r="AB178" i="1"/>
  <c r="U83" i="1"/>
  <c r="U43" i="1"/>
  <c r="AV140" i="1"/>
  <c r="AV115" i="1"/>
  <c r="AL132" i="1"/>
  <c r="AH103" i="1"/>
  <c r="AF11" i="1"/>
  <c r="U23" i="1"/>
  <c r="AN31" i="1"/>
  <c r="U7" i="1"/>
  <c r="AV31" i="1"/>
  <c r="AN180" i="1"/>
  <c r="AF107" i="1"/>
  <c r="U59" i="1"/>
  <c r="BH136" i="1"/>
  <c r="AX55" i="1"/>
  <c r="AJ119" i="1"/>
  <c r="AH95" i="1"/>
  <c r="AH11" i="1"/>
  <c r="U79" i="1"/>
  <c r="AR79" i="1"/>
  <c r="AZ91" i="1"/>
  <c r="AX103" i="1"/>
  <c r="AX79" i="1"/>
  <c r="AP152" i="1"/>
  <c r="AL164" i="1"/>
  <c r="AH144" i="1"/>
  <c r="AH83" i="1"/>
  <c r="AF91" i="1"/>
  <c r="U19" i="1"/>
  <c r="BB43" i="1"/>
  <c r="AF31" i="1"/>
  <c r="AZ67" i="1"/>
  <c r="AZ19" i="1"/>
  <c r="AX176" i="1"/>
  <c r="AX128" i="1"/>
  <c r="AX31" i="1"/>
  <c r="AX7" i="1"/>
  <c r="AV79" i="1"/>
  <c r="AJ107" i="1"/>
  <c r="AJ55" i="1"/>
  <c r="AH132" i="1"/>
  <c r="AF78" i="1"/>
  <c r="AB103" i="1"/>
  <c r="U95" i="1"/>
  <c r="U55" i="1"/>
  <c r="U35" i="1"/>
  <c r="AN103" i="1"/>
  <c r="BB79" i="1"/>
  <c r="AZ43" i="1"/>
  <c r="AX152" i="1"/>
  <c r="AH43" i="1"/>
  <c r="BB176" i="1"/>
  <c r="BB152" i="1"/>
  <c r="AP19" i="1"/>
  <c r="BB128" i="1"/>
  <c r="AP79" i="1"/>
  <c r="AL103" i="1"/>
  <c r="AJ168" i="1"/>
  <c r="AH128" i="1"/>
  <c r="AD55" i="1"/>
  <c r="AB55" i="1"/>
  <c r="U91" i="1"/>
  <c r="U31" i="1"/>
  <c r="U11" i="1"/>
  <c r="BB19" i="1"/>
  <c r="AT79" i="1"/>
  <c r="AZ128" i="1"/>
  <c r="AZ103" i="1"/>
  <c r="AN107" i="1"/>
  <c r="AL144" i="1"/>
  <c r="AJ47" i="1"/>
  <c r="AH47" i="1"/>
  <c r="AF154" i="1"/>
  <c r="U47" i="1"/>
  <c r="AL127" i="1"/>
  <c r="AJ42" i="1"/>
  <c r="U90" i="1"/>
  <c r="U78" i="1"/>
  <c r="U54" i="1"/>
  <c r="U42" i="1"/>
  <c r="AZ183" i="1"/>
  <c r="AZ139" i="1"/>
  <c r="AV166" i="1"/>
  <c r="AT178" i="1"/>
  <c r="AT105" i="1"/>
  <c r="AT78" i="1"/>
  <c r="AR159" i="1"/>
  <c r="AR130" i="1"/>
  <c r="AR103" i="1"/>
  <c r="AR80" i="1"/>
  <c r="AP93" i="1"/>
  <c r="AP39" i="1"/>
  <c r="AP17" i="1"/>
  <c r="AN130" i="1"/>
  <c r="AN98" i="1"/>
  <c r="AN68" i="1"/>
  <c r="AN9" i="1"/>
  <c r="AL160" i="1"/>
  <c r="AJ183" i="1"/>
  <c r="AJ117" i="1"/>
  <c r="AJ39" i="1"/>
  <c r="AH33" i="1"/>
  <c r="AF142" i="1"/>
  <c r="AF63" i="1"/>
  <c r="AD154" i="1"/>
  <c r="AD15" i="1"/>
  <c r="AB81" i="1"/>
  <c r="W45" i="1"/>
  <c r="U89" i="1"/>
  <c r="U77" i="1"/>
  <c r="U65" i="1"/>
  <c r="U53" i="1"/>
  <c r="U41" i="1"/>
  <c r="U29" i="1"/>
  <c r="U17" i="1"/>
  <c r="AP18" i="1"/>
  <c r="U66" i="1"/>
  <c r="BB65" i="1"/>
  <c r="AZ138" i="1"/>
  <c r="AV162" i="1"/>
  <c r="AT175" i="1"/>
  <c r="AT77" i="1"/>
  <c r="AR102" i="1"/>
  <c r="AL159" i="1"/>
  <c r="AJ115" i="1"/>
  <c r="AJ38" i="1"/>
  <c r="AH90" i="1"/>
  <c r="AH26" i="1"/>
  <c r="AD152" i="1"/>
  <c r="AD14" i="1"/>
  <c r="W31" i="1"/>
  <c r="U30" i="1"/>
  <c r="AT174" i="1"/>
  <c r="AR101" i="1"/>
  <c r="AL54" i="1"/>
  <c r="AH89" i="1"/>
  <c r="AF127" i="1"/>
  <c r="AD139" i="1"/>
  <c r="W17" i="1"/>
  <c r="AX90" i="1"/>
  <c r="AL53" i="1"/>
  <c r="AZ175" i="1"/>
  <c r="AX89" i="1"/>
  <c r="AV183" i="1"/>
  <c r="AV159" i="1"/>
  <c r="AT74" i="1"/>
  <c r="AR74" i="1"/>
  <c r="AR46" i="1"/>
  <c r="AN86" i="1"/>
  <c r="AN62" i="1"/>
  <c r="AL110" i="1"/>
  <c r="AL19" i="1"/>
  <c r="AJ159" i="1"/>
  <c r="AJ26" i="1"/>
  <c r="AH127" i="1"/>
  <c r="AF123" i="1"/>
  <c r="AD110" i="1"/>
  <c r="AB166" i="1"/>
  <c r="W177" i="1"/>
  <c r="U140" i="1"/>
  <c r="U85" i="1"/>
  <c r="U73" i="1"/>
  <c r="U61" i="1"/>
  <c r="U37" i="1"/>
  <c r="U25" i="1"/>
  <c r="U18" i="1"/>
  <c r="BB14" i="1"/>
  <c r="AZ174" i="1"/>
  <c r="AZ152" i="1"/>
  <c r="AZ110" i="1"/>
  <c r="AX153" i="1"/>
  <c r="AX129" i="1"/>
  <c r="AX110" i="1"/>
  <c r="AV110" i="1"/>
  <c r="AV29" i="1"/>
  <c r="AV7" i="1"/>
  <c r="AT171" i="1"/>
  <c r="AT147" i="1"/>
  <c r="AT123" i="1"/>
  <c r="AT43" i="1"/>
  <c r="AR172" i="1"/>
  <c r="AR118" i="1"/>
  <c r="AR98" i="1"/>
  <c r="AR45" i="1"/>
  <c r="AP166" i="1"/>
  <c r="AP105" i="1"/>
  <c r="AP81" i="1"/>
  <c r="AP57" i="1"/>
  <c r="AP27" i="1"/>
  <c r="AP9" i="1"/>
  <c r="AN154" i="1"/>
  <c r="AN111" i="1"/>
  <c r="AN57" i="1"/>
  <c r="AN26" i="1"/>
  <c r="AL174" i="1"/>
  <c r="AL147" i="1"/>
  <c r="AL78" i="1"/>
  <c r="AL51" i="1"/>
  <c r="AJ148" i="1"/>
  <c r="AJ103" i="1"/>
  <c r="AJ57" i="1"/>
  <c r="AJ19" i="1"/>
  <c r="AH160" i="1"/>
  <c r="AH69" i="1"/>
  <c r="AF39" i="1"/>
  <c r="AD103" i="1"/>
  <c r="AB136" i="1"/>
  <c r="W176" i="1"/>
  <c r="U96" i="1"/>
  <c r="U84" i="1"/>
  <c r="U72" i="1"/>
  <c r="U60" i="1"/>
  <c r="U48" i="1"/>
  <c r="U12" i="1"/>
  <c r="BB102" i="1"/>
  <c r="AX18" i="1"/>
  <c r="AP162" i="1"/>
  <c r="BB101" i="1"/>
  <c r="AX127" i="1"/>
  <c r="AX17" i="1"/>
  <c r="AP78" i="1"/>
  <c r="AJ89" i="1"/>
  <c r="AH123" i="1"/>
  <c r="AF18" i="1"/>
  <c r="U94" i="1"/>
  <c r="U82" i="1"/>
  <c r="U70" i="1"/>
  <c r="U58" i="1"/>
  <c r="U46" i="1"/>
  <c r="U34" i="1"/>
  <c r="U22" i="1"/>
  <c r="U10" i="1"/>
  <c r="BB29" i="1"/>
  <c r="AX126" i="1"/>
  <c r="AV126" i="1"/>
  <c r="AT138" i="1"/>
  <c r="AP77" i="1"/>
  <c r="AL101" i="1"/>
  <c r="AR162" i="1"/>
  <c r="AN102" i="1"/>
  <c r="BB126" i="1"/>
  <c r="BB66" i="1"/>
  <c r="BB30" i="1"/>
  <c r="AZ89" i="1"/>
  <c r="AZ54" i="1"/>
  <c r="AZ17" i="1"/>
  <c r="AX162" i="1"/>
  <c r="AX54" i="1"/>
  <c r="AV163" i="1"/>
  <c r="AV127" i="1"/>
  <c r="AV89" i="1"/>
  <c r="AV30" i="1"/>
  <c r="AT139" i="1"/>
  <c r="AT41" i="1"/>
  <c r="AR163" i="1"/>
  <c r="AR65" i="1"/>
  <c r="AR5" i="1"/>
  <c r="AP163" i="1"/>
  <c r="AN183" i="1"/>
  <c r="AN159" i="1"/>
  <c r="AN41" i="1"/>
  <c r="AN18" i="1"/>
  <c r="AL175" i="1"/>
  <c r="AL130" i="1"/>
  <c r="AL102" i="1"/>
  <c r="AL81" i="1"/>
  <c r="AL56" i="1"/>
  <c r="AL30" i="1"/>
  <c r="AJ160" i="1"/>
  <c r="AJ126" i="1"/>
  <c r="AJ102" i="1"/>
  <c r="AJ45" i="1"/>
  <c r="AJ15" i="1"/>
  <c r="AH93" i="1"/>
  <c r="AF81" i="1"/>
  <c r="AF27" i="1"/>
  <c r="AD142" i="1"/>
  <c r="AD56" i="1"/>
  <c r="AB151" i="1"/>
  <c r="AB78" i="1"/>
  <c r="W125" i="1"/>
  <c r="W30" i="1"/>
  <c r="AP54" i="1"/>
  <c r="AL6" i="1"/>
  <c r="BB174" i="1"/>
  <c r="BB138" i="1"/>
  <c r="AZ101" i="1"/>
  <c r="AZ30" i="1"/>
  <c r="AX175" i="1"/>
  <c r="AV102" i="1"/>
  <c r="AV65" i="1"/>
  <c r="AT114" i="1"/>
  <c r="AT54" i="1"/>
  <c r="AT17" i="1"/>
  <c r="AR138" i="1"/>
  <c r="AR41" i="1"/>
  <c r="AP113" i="1"/>
  <c r="AP53" i="1"/>
  <c r="AN175" i="1"/>
  <c r="AN151" i="1"/>
  <c r="AN77" i="1"/>
  <c r="AJ150" i="1"/>
  <c r="AJ6" i="1"/>
  <c r="AH42" i="1"/>
  <c r="AD113" i="1"/>
  <c r="AD30" i="1"/>
  <c r="AB18" i="1"/>
  <c r="W6" i="1"/>
  <c r="U6" i="1"/>
  <c r="AN127" i="1"/>
  <c r="W114" i="1"/>
  <c r="BB42" i="1"/>
  <c r="AZ66" i="1"/>
  <c r="AZ29" i="1"/>
  <c r="AX174" i="1"/>
  <c r="AX139" i="1"/>
  <c r="AX66" i="1"/>
  <c r="AV139" i="1"/>
  <c r="AV101" i="1"/>
  <c r="AV42" i="1"/>
  <c r="AV6" i="1"/>
  <c r="AT113" i="1"/>
  <c r="AT53" i="1"/>
  <c r="AR78" i="1"/>
  <c r="AR18" i="1"/>
  <c r="AP30" i="1"/>
  <c r="AN150" i="1"/>
  <c r="AN54" i="1"/>
  <c r="AJ5" i="1"/>
  <c r="AH78" i="1"/>
  <c r="AF6" i="1"/>
  <c r="AB17" i="1"/>
  <c r="AT18" i="1"/>
  <c r="AL151" i="1"/>
  <c r="AH6" i="1"/>
  <c r="BB78" i="1"/>
  <c r="BB41" i="1"/>
  <c r="BB6" i="1"/>
  <c r="AZ151" i="1"/>
  <c r="AZ65" i="1"/>
  <c r="AX138" i="1"/>
  <c r="AX102" i="1"/>
  <c r="AX65" i="1"/>
  <c r="AX30" i="1"/>
  <c r="AV175" i="1"/>
  <c r="AV138" i="1"/>
  <c r="AV41" i="1"/>
  <c r="AV5" i="1"/>
  <c r="AT151" i="1"/>
  <c r="AT90" i="1"/>
  <c r="AR175" i="1"/>
  <c r="AR114" i="1"/>
  <c r="AR77" i="1"/>
  <c r="AR17" i="1"/>
  <c r="AP90" i="1"/>
  <c r="AP29" i="1"/>
  <c r="AN53" i="1"/>
  <c r="AN30" i="1"/>
  <c r="AL114" i="1"/>
  <c r="AJ139" i="1"/>
  <c r="AJ78" i="1"/>
  <c r="AJ30" i="1"/>
  <c r="AH151" i="1"/>
  <c r="AH30" i="1"/>
  <c r="W90" i="1"/>
  <c r="U114" i="1"/>
  <c r="AR139" i="1"/>
  <c r="AN78" i="1"/>
  <c r="BB151" i="1"/>
  <c r="BB114" i="1"/>
  <c r="BB77" i="1"/>
  <c r="BB5" i="1"/>
  <c r="AZ150" i="1"/>
  <c r="AZ114" i="1"/>
  <c r="AX101" i="1"/>
  <c r="AX29" i="1"/>
  <c r="AV174" i="1"/>
  <c r="AT150" i="1"/>
  <c r="AT89" i="1"/>
  <c r="AT30" i="1"/>
  <c r="AR174" i="1"/>
  <c r="AR113" i="1"/>
  <c r="AR54" i="1"/>
  <c r="AP175" i="1"/>
  <c r="AP89" i="1"/>
  <c r="AN114" i="1"/>
  <c r="AN29" i="1"/>
  <c r="AN6" i="1"/>
  <c r="AL139" i="1"/>
  <c r="AL113" i="1"/>
  <c r="AL42" i="1"/>
  <c r="AJ138" i="1"/>
  <c r="AJ114" i="1"/>
  <c r="AJ54" i="1"/>
  <c r="AH114" i="1"/>
  <c r="AF171" i="1"/>
  <c r="AF114" i="1"/>
  <c r="AD175" i="1"/>
  <c r="AD102" i="1"/>
  <c r="AB105" i="1"/>
  <c r="AB6" i="1"/>
  <c r="U98" i="1"/>
  <c r="BB175" i="1"/>
  <c r="AP139" i="1"/>
  <c r="AJ151" i="1"/>
  <c r="BH174" i="1"/>
  <c r="BH162" i="1"/>
  <c r="BH150" i="1"/>
  <c r="BH138" i="1"/>
  <c r="BH126" i="1"/>
  <c r="BB150" i="1"/>
  <c r="BB113" i="1"/>
  <c r="AZ113" i="1"/>
  <c r="AZ6" i="1"/>
  <c r="AV151" i="1"/>
  <c r="AV78" i="1"/>
  <c r="AT29" i="1"/>
  <c r="AR151" i="1"/>
  <c r="AR53" i="1"/>
  <c r="AP174" i="1"/>
  <c r="AP151" i="1"/>
  <c r="AN113" i="1"/>
  <c r="AN90" i="1"/>
  <c r="AN5" i="1"/>
  <c r="AL163" i="1"/>
  <c r="AL138" i="1"/>
  <c r="AL90" i="1"/>
  <c r="AL41" i="1"/>
  <c r="AL18" i="1"/>
  <c r="AJ175" i="1"/>
  <c r="AJ53" i="1"/>
  <c r="AH66" i="1"/>
  <c r="AF163" i="1"/>
  <c r="BH161" i="1"/>
  <c r="BB54" i="1"/>
  <c r="BB18" i="1"/>
  <c r="AZ78" i="1"/>
  <c r="AZ42" i="1"/>
  <c r="AZ5" i="1"/>
  <c r="AX42" i="1"/>
  <c r="AV150" i="1"/>
  <c r="AV114" i="1"/>
  <c r="AV77" i="1"/>
  <c r="AV18" i="1"/>
  <c r="AT127" i="1"/>
  <c r="AT66" i="1"/>
  <c r="AR150" i="1"/>
  <c r="AR90" i="1"/>
  <c r="AP150" i="1"/>
  <c r="AP127" i="1"/>
  <c r="AP66" i="1"/>
  <c r="AP6" i="1"/>
  <c r="AN163" i="1"/>
  <c r="AN139" i="1"/>
  <c r="AN89" i="1"/>
  <c r="AL162" i="1"/>
  <c r="AL89" i="1"/>
  <c r="AL66" i="1"/>
  <c r="AL17" i="1"/>
  <c r="AJ171" i="1"/>
  <c r="AJ135" i="1"/>
  <c r="AJ111" i="1"/>
  <c r="AJ74" i="1"/>
  <c r="AJ21" i="1"/>
  <c r="AH105" i="1"/>
  <c r="AH63" i="1"/>
  <c r="AH18" i="1"/>
  <c r="AF162" i="1"/>
  <c r="AF102" i="1"/>
  <c r="AF45" i="1"/>
  <c r="AD162" i="1"/>
  <c r="AD93" i="1"/>
  <c r="AD8" i="1"/>
  <c r="AB101" i="1"/>
  <c r="W65" i="1"/>
  <c r="BB139" i="1"/>
  <c r="AV66" i="1"/>
  <c r="AP114" i="1"/>
  <c r="BB90" i="1"/>
  <c r="BB53" i="1"/>
  <c r="BB17" i="1"/>
  <c r="AZ163" i="1"/>
  <c r="AZ127" i="1"/>
  <c r="AZ77" i="1"/>
  <c r="AZ41" i="1"/>
  <c r="AX151" i="1"/>
  <c r="AX114" i="1"/>
  <c r="AX78" i="1"/>
  <c r="AX41" i="1"/>
  <c r="AX6" i="1"/>
  <c r="AV113" i="1"/>
  <c r="AV54" i="1"/>
  <c r="AV17" i="1"/>
  <c r="AT163" i="1"/>
  <c r="AT126" i="1"/>
  <c r="AT65" i="1"/>
  <c r="AR127" i="1"/>
  <c r="AR89" i="1"/>
  <c r="AR30" i="1"/>
  <c r="AP126" i="1"/>
  <c r="AP102" i="1"/>
  <c r="AP65" i="1"/>
  <c r="AP42" i="1"/>
  <c r="AP5" i="1"/>
  <c r="AN162" i="1"/>
  <c r="AN138" i="1"/>
  <c r="AL65" i="1"/>
  <c r="AH17" i="1"/>
  <c r="AD6" i="1"/>
  <c r="W163" i="1"/>
  <c r="W54" i="1"/>
  <c r="BH131" i="1"/>
  <c r="AR42" i="1"/>
  <c r="BH183" i="1"/>
  <c r="BB163" i="1"/>
  <c r="BB89" i="1"/>
  <c r="AZ162" i="1"/>
  <c r="AZ126" i="1"/>
  <c r="AX150" i="1"/>
  <c r="AX113" i="1"/>
  <c r="AX77" i="1"/>
  <c r="AX5" i="1"/>
  <c r="AV53" i="1"/>
  <c r="AT162" i="1"/>
  <c r="AT102" i="1"/>
  <c r="AT6" i="1"/>
  <c r="AR126" i="1"/>
  <c r="AR29" i="1"/>
  <c r="AP101" i="1"/>
  <c r="AP41" i="1"/>
  <c r="AN66" i="1"/>
  <c r="AJ162" i="1"/>
  <c r="AJ66" i="1"/>
  <c r="AJ18" i="1"/>
  <c r="AD78" i="1"/>
  <c r="AB90" i="1"/>
  <c r="W139" i="1"/>
  <c r="AZ102" i="1"/>
  <c r="BB162" i="1"/>
  <c r="BB127" i="1"/>
  <c r="AZ90" i="1"/>
  <c r="AZ18" i="1"/>
  <c r="AX163" i="1"/>
  <c r="AV90" i="1"/>
  <c r="AT101" i="1"/>
  <c r="AT42" i="1"/>
  <c r="AT5" i="1"/>
  <c r="AR66" i="1"/>
  <c r="AN65" i="1"/>
  <c r="AN42" i="1"/>
  <c r="AJ127" i="1"/>
  <c r="AJ65" i="1"/>
  <c r="AF89" i="1"/>
  <c r="AF30" i="1"/>
  <c r="AD151" i="1"/>
  <c r="BB121" i="1"/>
  <c r="BB103" i="1"/>
  <c r="BB72" i="1"/>
  <c r="AV152" i="1"/>
  <c r="AV103" i="1"/>
  <c r="AV72" i="1"/>
  <c r="AV55" i="1"/>
  <c r="AT104" i="1"/>
  <c r="AT36" i="1"/>
  <c r="AR164" i="1"/>
  <c r="AR43" i="1"/>
  <c r="AR7" i="1"/>
  <c r="AP43" i="1"/>
  <c r="AN153" i="1"/>
  <c r="AL142" i="1"/>
  <c r="AL67" i="1"/>
  <c r="AL50" i="1"/>
  <c r="AJ166" i="1"/>
  <c r="AJ147" i="1"/>
  <c r="AJ72" i="1"/>
  <c r="AJ33" i="1"/>
  <c r="AJ9" i="1"/>
  <c r="AH142" i="1"/>
  <c r="AH115" i="1"/>
  <c r="AH57" i="1"/>
  <c r="AF140" i="1"/>
  <c r="AF67" i="1"/>
  <c r="AD128" i="1"/>
  <c r="AD79" i="1"/>
  <c r="AD21" i="1"/>
  <c r="AB165" i="1"/>
  <c r="AB43" i="1"/>
  <c r="W164" i="1"/>
  <c r="W55" i="1"/>
  <c r="U135" i="1"/>
  <c r="BH168" i="1"/>
  <c r="BB55" i="1"/>
  <c r="BB24" i="1"/>
  <c r="AZ31" i="1"/>
  <c r="AX181" i="1"/>
  <c r="AX164" i="1"/>
  <c r="AX133" i="1"/>
  <c r="AX67" i="1"/>
  <c r="AX36" i="1"/>
  <c r="AV121" i="1"/>
  <c r="AV19" i="1"/>
  <c r="AT121" i="1"/>
  <c r="AT103" i="1"/>
  <c r="AT67" i="1"/>
  <c r="AR128" i="1"/>
  <c r="AP171" i="1"/>
  <c r="AP62" i="1"/>
  <c r="AP7" i="1"/>
  <c r="AN171" i="1"/>
  <c r="AN152" i="1"/>
  <c r="AN135" i="1"/>
  <c r="AN91" i="1"/>
  <c r="AN55" i="1"/>
  <c r="AN19" i="1"/>
  <c r="AL183" i="1"/>
  <c r="AL140" i="1"/>
  <c r="AL86" i="1"/>
  <c r="AL7" i="1"/>
  <c r="AJ165" i="1"/>
  <c r="AJ142" i="1"/>
  <c r="AJ31" i="1"/>
  <c r="AJ7" i="1"/>
  <c r="AH166" i="1"/>
  <c r="AH140" i="1"/>
  <c r="AH86" i="1"/>
  <c r="AH55" i="1"/>
  <c r="AH21" i="1"/>
  <c r="AF105" i="1"/>
  <c r="AD123" i="1"/>
  <c r="AD20" i="1"/>
  <c r="AB152" i="1"/>
  <c r="AB33" i="1"/>
  <c r="W98" i="1"/>
  <c r="U128" i="1"/>
  <c r="BH156" i="1"/>
  <c r="BB181" i="1"/>
  <c r="BB164" i="1"/>
  <c r="BB133" i="1"/>
  <c r="BB7" i="1"/>
  <c r="AZ157" i="1"/>
  <c r="AZ140" i="1"/>
  <c r="AZ79" i="1"/>
  <c r="AZ48" i="1"/>
  <c r="AX115" i="1"/>
  <c r="AX84" i="1"/>
  <c r="AX19" i="1"/>
  <c r="AT152" i="1"/>
  <c r="AR147" i="1"/>
  <c r="AR91" i="1"/>
  <c r="AP128" i="1"/>
  <c r="AN74" i="1"/>
  <c r="AN38" i="1"/>
  <c r="AL123" i="1"/>
  <c r="AL43" i="1"/>
  <c r="AL26" i="1"/>
  <c r="AJ164" i="1"/>
  <c r="AJ140" i="1"/>
  <c r="AJ123" i="1"/>
  <c r="AJ93" i="1"/>
  <c r="AJ69" i="1"/>
  <c r="AH164" i="1"/>
  <c r="AH135" i="1"/>
  <c r="AH19" i="1"/>
  <c r="AF176" i="1"/>
  <c r="AF130" i="1"/>
  <c r="AF103" i="1"/>
  <c r="AF26" i="1"/>
  <c r="AD160" i="1"/>
  <c r="AD115" i="1"/>
  <c r="AD69" i="1"/>
  <c r="AD19" i="1"/>
  <c r="AB98" i="1"/>
  <c r="AB32" i="1"/>
  <c r="W160" i="1"/>
  <c r="W93" i="1"/>
  <c r="W51" i="1"/>
  <c r="U115" i="1"/>
  <c r="BB115" i="1"/>
  <c r="BB84" i="1"/>
  <c r="BB67" i="1"/>
  <c r="AZ108" i="1"/>
  <c r="AV164" i="1"/>
  <c r="AV67" i="1"/>
  <c r="AT31" i="1"/>
  <c r="AR55" i="1"/>
  <c r="AP110" i="1"/>
  <c r="AP91" i="1"/>
  <c r="AN110" i="1"/>
  <c r="AL62" i="1"/>
  <c r="AJ91" i="1"/>
  <c r="AJ67" i="1"/>
  <c r="AH110" i="1"/>
  <c r="AH79" i="1"/>
  <c r="AF128" i="1"/>
  <c r="AF57" i="1"/>
  <c r="AF19" i="1"/>
  <c r="AD159" i="1"/>
  <c r="AD67" i="1"/>
  <c r="AB142" i="1"/>
  <c r="AB21" i="1"/>
  <c r="W154" i="1"/>
  <c r="W91" i="1"/>
  <c r="W50" i="1"/>
  <c r="AT115" i="1"/>
  <c r="AR176" i="1"/>
  <c r="AR19" i="1"/>
  <c r="AP164" i="1"/>
  <c r="AP55" i="1"/>
  <c r="AN164" i="1"/>
  <c r="AN128" i="1"/>
  <c r="AL176" i="1"/>
  <c r="AL115" i="1"/>
  <c r="AL79" i="1"/>
  <c r="AF55" i="1"/>
  <c r="AB92" i="1"/>
  <c r="W140" i="1"/>
  <c r="U103" i="1"/>
  <c r="BB31" i="1"/>
  <c r="AZ7" i="1"/>
  <c r="AX140" i="1"/>
  <c r="AX60" i="1"/>
  <c r="AX43" i="1"/>
  <c r="AV176" i="1"/>
  <c r="AV128" i="1"/>
  <c r="AT128" i="1"/>
  <c r="AR86" i="1"/>
  <c r="AR67" i="1"/>
  <c r="AP140" i="1"/>
  <c r="AP123" i="1"/>
  <c r="AP68" i="1"/>
  <c r="AN142" i="1"/>
  <c r="AN123" i="1"/>
  <c r="AL152" i="1"/>
  <c r="AL92" i="1"/>
  <c r="AL55" i="1"/>
  <c r="AJ178" i="1"/>
  <c r="AJ154" i="1"/>
  <c r="AJ79" i="1"/>
  <c r="AJ43" i="1"/>
  <c r="AH152" i="1"/>
  <c r="AH98" i="1"/>
  <c r="AH67" i="1"/>
  <c r="AH38" i="1"/>
  <c r="AH14" i="1"/>
  <c r="AF86" i="1"/>
  <c r="AD147" i="1"/>
  <c r="AD45" i="1"/>
  <c r="AD7" i="1"/>
  <c r="AB128" i="1"/>
  <c r="AB79" i="1"/>
  <c r="AB7" i="1"/>
  <c r="W81" i="1"/>
  <c r="BB157" i="1"/>
  <c r="BB140" i="1"/>
  <c r="AZ164" i="1"/>
  <c r="AZ72" i="1"/>
  <c r="AZ55" i="1"/>
  <c r="AX108" i="1"/>
  <c r="AX91" i="1"/>
  <c r="AV43" i="1"/>
  <c r="AT176" i="1"/>
  <c r="AT7" i="1"/>
  <c r="AR153" i="1"/>
  <c r="AR31" i="1"/>
  <c r="AP176" i="1"/>
  <c r="AP67" i="1"/>
  <c r="AP31" i="1"/>
  <c r="AN140" i="1"/>
  <c r="AN7" i="1"/>
  <c r="AL91" i="1"/>
  <c r="AJ176" i="1"/>
  <c r="AJ152" i="1"/>
  <c r="AF7" i="1"/>
  <c r="W80" i="1"/>
  <c r="BB108" i="1"/>
  <c r="BB91" i="1"/>
  <c r="BB60" i="1"/>
  <c r="AZ115" i="1"/>
  <c r="AV141" i="1"/>
  <c r="AV91" i="1"/>
  <c r="AV60" i="1"/>
  <c r="AT91" i="1"/>
  <c r="AT56" i="1"/>
  <c r="AR152" i="1"/>
  <c r="AN176" i="1"/>
  <c r="AN79" i="1"/>
  <c r="AN44" i="1"/>
  <c r="AL129" i="1"/>
  <c r="AL31" i="1"/>
  <c r="AJ128" i="1"/>
  <c r="AH176" i="1"/>
  <c r="AH31" i="1"/>
  <c r="AF153" i="1"/>
  <c r="AF116" i="1"/>
  <c r="AF79" i="1"/>
  <c r="AF43" i="1"/>
  <c r="AD140" i="1"/>
  <c r="AD92" i="1"/>
  <c r="AD31" i="1"/>
  <c r="AB67" i="1"/>
  <c r="W183" i="1"/>
  <c r="W115" i="1"/>
  <c r="AT140" i="1"/>
  <c r="AR115" i="1"/>
  <c r="AP115" i="1"/>
  <c r="AN115" i="1"/>
  <c r="AN43" i="1"/>
  <c r="AL128" i="1"/>
  <c r="AH91" i="1"/>
  <c r="AH7" i="1"/>
  <c r="AF152" i="1"/>
  <c r="AF115" i="1"/>
  <c r="AD91" i="1"/>
  <c r="AB176" i="1"/>
  <c r="U152" i="1"/>
  <c r="BH177" i="1"/>
  <c r="BH165" i="1"/>
  <c r="BH129" i="1"/>
  <c r="BH175" i="1"/>
  <c r="BH163" i="1"/>
  <c r="BH151" i="1"/>
  <c r="BH139" i="1"/>
  <c r="BH127" i="1"/>
  <c r="BH159" i="1"/>
  <c r="BH147" i="1"/>
  <c r="BH170" i="1"/>
  <c r="BH158" i="1"/>
  <c r="BH146" i="1"/>
  <c r="BH134" i="1"/>
  <c r="BB56" i="1"/>
  <c r="AZ165" i="1"/>
  <c r="AZ20" i="1"/>
  <c r="AX68" i="1"/>
  <c r="AV116" i="1"/>
  <c r="AT165" i="1"/>
  <c r="AR32" i="1"/>
  <c r="AP165" i="1"/>
  <c r="AP20" i="1"/>
  <c r="AN116" i="1"/>
  <c r="AN32" i="1"/>
  <c r="AL20" i="1"/>
  <c r="AJ110" i="1"/>
  <c r="AJ87" i="1"/>
  <c r="AJ68" i="1"/>
  <c r="AH177" i="1"/>
  <c r="AH104" i="1"/>
  <c r="AH39" i="1"/>
  <c r="AF178" i="1"/>
  <c r="AF124" i="1"/>
  <c r="AF98" i="1"/>
  <c r="AF74" i="1"/>
  <c r="AF21" i="1"/>
  <c r="AD183" i="1"/>
  <c r="AD153" i="1"/>
  <c r="AD117" i="1"/>
  <c r="AB159" i="1"/>
  <c r="AB129" i="1"/>
  <c r="AB51" i="1"/>
  <c r="AB8" i="1"/>
  <c r="W147" i="1"/>
  <c r="W105" i="1"/>
  <c r="W44" i="1"/>
  <c r="U178" i="1"/>
  <c r="BB141" i="1"/>
  <c r="BB68" i="1"/>
  <c r="AZ92" i="1"/>
  <c r="AX141" i="1"/>
  <c r="AV56" i="1"/>
  <c r="AT8" i="1"/>
  <c r="AR141" i="1"/>
  <c r="AP129" i="1"/>
  <c r="AJ141" i="1"/>
  <c r="AJ32" i="1"/>
  <c r="AH80" i="1"/>
  <c r="AF177" i="1"/>
  <c r="AF147" i="1"/>
  <c r="AF20" i="1"/>
  <c r="AD178" i="1"/>
  <c r="AD116" i="1"/>
  <c r="AD86" i="1"/>
  <c r="AD51" i="1"/>
  <c r="AB154" i="1"/>
  <c r="AB89" i="1"/>
  <c r="W141" i="1"/>
  <c r="W104" i="1"/>
  <c r="W69" i="1"/>
  <c r="W33" i="1"/>
  <c r="AZ177" i="1"/>
  <c r="AZ104" i="1"/>
  <c r="AZ32" i="1"/>
  <c r="AX8" i="1"/>
  <c r="AV129" i="1"/>
  <c r="AT177" i="1"/>
  <c r="AT116" i="1"/>
  <c r="AT68" i="1"/>
  <c r="AR92" i="1"/>
  <c r="AP80" i="1"/>
  <c r="AP32" i="1"/>
  <c r="AN165" i="1"/>
  <c r="AN80" i="1"/>
  <c r="AL177" i="1"/>
  <c r="AL141" i="1"/>
  <c r="AL104" i="1"/>
  <c r="AH56" i="1"/>
  <c r="AF92" i="1"/>
  <c r="AF68" i="1"/>
  <c r="AF44" i="1"/>
  <c r="AD177" i="1"/>
  <c r="AB153" i="1"/>
  <c r="W68" i="1"/>
  <c r="W32" i="1"/>
  <c r="U141" i="1"/>
  <c r="BB153" i="1"/>
  <c r="BB80" i="1"/>
  <c r="AX80" i="1"/>
  <c r="AV68" i="1"/>
  <c r="AV8" i="1"/>
  <c r="AT20" i="1"/>
  <c r="AR44" i="1"/>
  <c r="AP177" i="1"/>
  <c r="AL32" i="1"/>
  <c r="AJ104" i="1"/>
  <c r="AJ80" i="1"/>
  <c r="AJ8" i="1"/>
  <c r="AH32" i="1"/>
  <c r="AF141" i="1"/>
  <c r="AD80" i="1"/>
  <c r="AD44" i="1"/>
  <c r="BH169" i="1"/>
  <c r="BH157" i="1"/>
  <c r="BB165" i="1"/>
  <c r="BB92" i="1"/>
  <c r="AZ44" i="1"/>
  <c r="AX92" i="1"/>
  <c r="AX20" i="1"/>
  <c r="AV80" i="1"/>
  <c r="AV20" i="1"/>
  <c r="AT80" i="1"/>
  <c r="AR104" i="1"/>
  <c r="AR56" i="1"/>
  <c r="AP141" i="1"/>
  <c r="AP92" i="1"/>
  <c r="AP44" i="1"/>
  <c r="AN129" i="1"/>
  <c r="AN92" i="1"/>
  <c r="AN8" i="1"/>
  <c r="AJ177" i="1"/>
  <c r="AH74" i="1"/>
  <c r="AF166" i="1"/>
  <c r="AF135" i="1"/>
  <c r="AF88" i="1"/>
  <c r="AF62" i="1"/>
  <c r="AF38" i="1"/>
  <c r="AF14" i="1"/>
  <c r="AD171" i="1"/>
  <c r="AD141" i="1"/>
  <c r="AD105" i="1"/>
  <c r="AD33" i="1"/>
  <c r="AB148" i="1"/>
  <c r="AB104" i="1"/>
  <c r="AB74" i="1"/>
  <c r="AB29" i="1"/>
  <c r="W130" i="1"/>
  <c r="W92" i="1"/>
  <c r="W26" i="1"/>
  <c r="BH180" i="1"/>
  <c r="BH144" i="1"/>
  <c r="BH132" i="1"/>
  <c r="BB20" i="1"/>
  <c r="AZ129" i="1"/>
  <c r="AX165" i="1"/>
  <c r="AV153" i="1"/>
  <c r="AT32" i="1"/>
  <c r="AR8" i="1"/>
  <c r="AN177" i="1"/>
  <c r="AN143" i="1"/>
  <c r="AL116" i="1"/>
  <c r="AJ153" i="1"/>
  <c r="AJ136" i="1"/>
  <c r="AJ98" i="1"/>
  <c r="AJ44" i="1"/>
  <c r="AH165" i="1"/>
  <c r="AH141" i="1"/>
  <c r="AH116" i="1"/>
  <c r="AH92" i="1"/>
  <c r="AH50" i="1"/>
  <c r="AH27" i="1"/>
  <c r="AF165" i="1"/>
  <c r="AF87" i="1"/>
  <c r="AD166" i="1"/>
  <c r="AD104" i="1"/>
  <c r="AD75" i="1"/>
  <c r="AD32" i="1"/>
  <c r="AB147" i="1"/>
  <c r="AB27" i="1"/>
  <c r="W166" i="1"/>
  <c r="W129" i="1"/>
  <c r="W56" i="1"/>
  <c r="BB177" i="1"/>
  <c r="BB104" i="1"/>
  <c r="AZ56" i="1"/>
  <c r="AX104" i="1"/>
  <c r="AX32" i="1"/>
  <c r="AV92" i="1"/>
  <c r="AV32" i="1"/>
  <c r="AT141" i="1"/>
  <c r="AR165" i="1"/>
  <c r="AP104" i="1"/>
  <c r="AN56" i="1"/>
  <c r="AL153" i="1"/>
  <c r="AL44" i="1"/>
  <c r="AJ116" i="1"/>
  <c r="AJ20" i="1"/>
  <c r="AH68" i="1"/>
  <c r="AH8" i="1"/>
  <c r="AF32" i="1"/>
  <c r="AD165" i="1"/>
  <c r="AB68" i="1"/>
  <c r="W165" i="1"/>
  <c r="W20" i="1"/>
  <c r="U116" i="1"/>
  <c r="BH178" i="1"/>
  <c r="BH166" i="1"/>
  <c r="BH154" i="1"/>
  <c r="BH142" i="1"/>
  <c r="BH130" i="1"/>
  <c r="AZ141" i="1"/>
  <c r="AX177" i="1"/>
  <c r="AX44" i="1"/>
  <c r="AV165" i="1"/>
  <c r="AT92" i="1"/>
  <c r="AT44" i="1"/>
  <c r="AR116" i="1"/>
  <c r="AR68" i="1"/>
  <c r="AP153" i="1"/>
  <c r="AP56" i="1"/>
  <c r="AN141" i="1"/>
  <c r="AL80" i="1"/>
  <c r="AF129" i="1"/>
  <c r="AF56" i="1"/>
  <c r="AF8" i="1"/>
  <c r="AD68" i="1"/>
  <c r="AB177" i="1"/>
  <c r="AB20" i="1"/>
  <c r="BB116" i="1"/>
  <c r="AX116" i="1"/>
  <c r="AV104" i="1"/>
  <c r="AR20" i="1"/>
  <c r="AP8" i="1"/>
  <c r="AN104" i="1"/>
  <c r="AN20" i="1"/>
  <c r="AL8" i="1"/>
  <c r="AJ56" i="1"/>
  <c r="AH44" i="1"/>
  <c r="AF104" i="1"/>
  <c r="AF80" i="1"/>
  <c r="AD129" i="1"/>
  <c r="BH164" i="1"/>
  <c r="BB44" i="1"/>
  <c r="AZ153" i="1"/>
  <c r="AZ8" i="1"/>
  <c r="AX56" i="1"/>
  <c r="AV44" i="1"/>
  <c r="AT153" i="1"/>
  <c r="AR177" i="1"/>
  <c r="AR129" i="1"/>
  <c r="AP116" i="1"/>
  <c r="AL165" i="1"/>
  <c r="AJ129" i="1"/>
  <c r="BB179" i="1"/>
  <c r="BB34" i="1"/>
  <c r="AX143" i="1"/>
  <c r="AV94" i="1"/>
  <c r="AT155" i="1"/>
  <c r="AR179" i="1"/>
  <c r="AR106" i="1"/>
  <c r="BH155" i="1"/>
  <c r="BB46" i="1"/>
  <c r="AZ82" i="1"/>
  <c r="AX22" i="1"/>
  <c r="AV106" i="1"/>
  <c r="AT167" i="1"/>
  <c r="AT82" i="1"/>
  <c r="AP155" i="1"/>
  <c r="AN82" i="1"/>
  <c r="AN22" i="1"/>
  <c r="AL94" i="1"/>
  <c r="AL46" i="1"/>
  <c r="BB70" i="1"/>
  <c r="AZ106" i="1"/>
  <c r="AX46" i="1"/>
  <c r="AV118" i="1"/>
  <c r="AV10" i="1"/>
  <c r="AT94" i="1"/>
  <c r="AN94" i="1"/>
  <c r="AN34" i="1"/>
  <c r="AL155" i="1"/>
  <c r="AL106" i="1"/>
  <c r="AJ179" i="1"/>
  <c r="AJ58" i="1"/>
  <c r="AF183" i="1"/>
  <c r="AF159" i="1"/>
  <c r="AF110" i="1"/>
  <c r="AD150" i="1"/>
  <c r="AB164" i="1"/>
  <c r="AB62" i="1"/>
  <c r="AB26" i="1"/>
  <c r="W135" i="1"/>
  <c r="W102" i="1"/>
  <c r="W74" i="1"/>
  <c r="BB82" i="1"/>
  <c r="AZ118" i="1"/>
  <c r="AX167" i="1"/>
  <c r="AX58" i="1"/>
  <c r="AV131" i="1"/>
  <c r="AV22" i="1"/>
  <c r="AT22" i="1"/>
  <c r="AR131" i="1"/>
  <c r="AR58" i="1"/>
  <c r="AP167" i="1"/>
  <c r="AP106" i="1"/>
  <c r="AP34" i="1"/>
  <c r="AL58" i="1"/>
  <c r="AJ70" i="1"/>
  <c r="AH94" i="1"/>
  <c r="AH34" i="1"/>
  <c r="BB94" i="1"/>
  <c r="AZ131" i="1"/>
  <c r="AX179" i="1"/>
  <c r="AX70" i="1"/>
  <c r="AV143" i="1"/>
  <c r="AV34" i="1"/>
  <c r="AT106" i="1"/>
  <c r="AN155" i="1"/>
  <c r="AL167" i="1"/>
  <c r="AJ106" i="1"/>
  <c r="BB106" i="1"/>
  <c r="AZ143" i="1"/>
  <c r="AZ10" i="1"/>
  <c r="AV155" i="1"/>
  <c r="AT34" i="1"/>
  <c r="AR143" i="1"/>
  <c r="AR70" i="1"/>
  <c r="AP179" i="1"/>
  <c r="AP118" i="1"/>
  <c r="AP46" i="1"/>
  <c r="AN106" i="1"/>
  <c r="AN46" i="1"/>
  <c r="AL118" i="1"/>
  <c r="AL10" i="1"/>
  <c r="AJ155" i="1"/>
  <c r="AF10" i="1"/>
  <c r="BB118" i="1"/>
  <c r="AZ155" i="1"/>
  <c r="AZ22" i="1"/>
  <c r="AX82" i="1"/>
  <c r="AV167" i="1"/>
  <c r="AV46" i="1"/>
  <c r="AT118" i="1"/>
  <c r="AT46" i="1"/>
  <c r="AN167" i="1"/>
  <c r="AD34" i="1"/>
  <c r="BB131" i="1"/>
  <c r="AZ167" i="1"/>
  <c r="AZ34" i="1"/>
  <c r="AX94" i="1"/>
  <c r="AT131" i="1"/>
  <c r="AR155" i="1"/>
  <c r="AR82" i="1"/>
  <c r="AR10" i="1"/>
  <c r="AP131" i="1"/>
  <c r="AP58" i="1"/>
  <c r="AN118" i="1"/>
  <c r="AN58" i="1"/>
  <c r="AL179" i="1"/>
  <c r="AL70" i="1"/>
  <c r="AL22" i="1"/>
  <c r="AJ34" i="1"/>
  <c r="AF144" i="1"/>
  <c r="AB116" i="1"/>
  <c r="W123" i="1"/>
  <c r="W62" i="1"/>
  <c r="U164" i="1"/>
  <c r="U110" i="1"/>
  <c r="BH171" i="1"/>
  <c r="BB143" i="1"/>
  <c r="AZ179" i="1"/>
  <c r="AX106" i="1"/>
  <c r="AV179" i="1"/>
  <c r="AV58" i="1"/>
  <c r="AT58" i="1"/>
  <c r="AL131" i="1"/>
  <c r="AH106" i="1"/>
  <c r="AH46" i="1"/>
  <c r="AF143" i="1"/>
  <c r="W153" i="1"/>
  <c r="BB155" i="1"/>
  <c r="BB10" i="1"/>
  <c r="AZ46" i="1"/>
  <c r="AX118" i="1"/>
  <c r="AV70" i="1"/>
  <c r="AT143" i="1"/>
  <c r="AR167" i="1"/>
  <c r="AR94" i="1"/>
  <c r="AR22" i="1"/>
  <c r="AP70" i="1"/>
  <c r="AN179" i="1"/>
  <c r="AN10" i="1"/>
  <c r="AL34" i="1"/>
  <c r="AJ167" i="1"/>
  <c r="AF94" i="1"/>
  <c r="AF22" i="1"/>
  <c r="BB167" i="1"/>
  <c r="BB22" i="1"/>
  <c r="AZ58" i="1"/>
  <c r="AX131" i="1"/>
  <c r="AX10" i="1"/>
  <c r="AV82" i="1"/>
  <c r="AT70" i="1"/>
  <c r="AP143" i="1"/>
  <c r="AN70" i="1"/>
  <c r="AL143" i="1"/>
  <c r="AL82" i="1"/>
  <c r="AJ131" i="1"/>
  <c r="AJ10" i="1"/>
  <c r="AD58" i="1"/>
  <c r="AZ70" i="1"/>
  <c r="AR34" i="1"/>
  <c r="AP82" i="1"/>
  <c r="AP10" i="1"/>
  <c r="AN131" i="1"/>
  <c r="AJ94" i="1"/>
  <c r="AH82" i="1"/>
  <c r="AH22" i="1"/>
  <c r="AF160" i="1"/>
  <c r="AF83" i="1"/>
  <c r="AF23" i="1"/>
  <c r="AD119" i="1"/>
  <c r="AD101" i="1"/>
  <c r="AD53" i="1"/>
  <c r="AB75" i="1"/>
  <c r="AB54" i="1"/>
  <c r="AB3" i="1"/>
  <c r="W162" i="1"/>
  <c r="U139" i="1"/>
  <c r="AP138" i="1"/>
  <c r="AN174" i="1"/>
  <c r="AN144" i="1"/>
  <c r="AN101" i="1"/>
  <c r="AN88" i="1"/>
  <c r="AN59" i="1"/>
  <c r="AN17" i="1"/>
  <c r="AL168" i="1"/>
  <c r="AL126" i="1"/>
  <c r="AL112" i="1"/>
  <c r="AL40" i="1"/>
  <c r="AJ163" i="1"/>
  <c r="AJ149" i="1"/>
  <c r="AJ118" i="1"/>
  <c r="AJ90" i="1"/>
  <c r="AJ46" i="1"/>
  <c r="AH179" i="1"/>
  <c r="AH163" i="1"/>
  <c r="AH143" i="1"/>
  <c r="AH126" i="1"/>
  <c r="AH107" i="1"/>
  <c r="AH77" i="1"/>
  <c r="AH58" i="1"/>
  <c r="AH10" i="1"/>
  <c r="AF175" i="1"/>
  <c r="AF156" i="1"/>
  <c r="AF139" i="1"/>
  <c r="AF95" i="1"/>
  <c r="AF58" i="1"/>
  <c r="AF42" i="1"/>
  <c r="AD163" i="1"/>
  <c r="AD50" i="1"/>
  <c r="AB183" i="1"/>
  <c r="AB123" i="1"/>
  <c r="W159" i="1"/>
  <c r="W126" i="1"/>
  <c r="W101" i="1"/>
  <c r="W53" i="1"/>
  <c r="U132" i="1"/>
  <c r="AJ174" i="1"/>
  <c r="AJ144" i="1"/>
  <c r="AJ101" i="1"/>
  <c r="AH156" i="1"/>
  <c r="AH88" i="1"/>
  <c r="AH71" i="1"/>
  <c r="AF168" i="1"/>
  <c r="AF131" i="1"/>
  <c r="AF35" i="1"/>
  <c r="AD136" i="1"/>
  <c r="AD111" i="1"/>
  <c r="AD42" i="1"/>
  <c r="AB111" i="1"/>
  <c r="AB88" i="1"/>
  <c r="AB66" i="1"/>
  <c r="AB16" i="1"/>
  <c r="W175" i="1"/>
  <c r="W16" i="1"/>
  <c r="U163" i="1"/>
  <c r="AN126" i="1"/>
  <c r="AL150" i="1"/>
  <c r="AL64" i="1"/>
  <c r="AJ173" i="1"/>
  <c r="AJ143" i="1"/>
  <c r="AJ100" i="1"/>
  <c r="AJ83" i="1"/>
  <c r="AJ23" i="1"/>
  <c r="AH175" i="1"/>
  <c r="AH155" i="1"/>
  <c r="AH139" i="1"/>
  <c r="AH119" i="1"/>
  <c r="AH87" i="1"/>
  <c r="AH70" i="1"/>
  <c r="AH54" i="1"/>
  <c r="AF167" i="1"/>
  <c r="AF151" i="1"/>
  <c r="AF113" i="1"/>
  <c r="AF71" i="1"/>
  <c r="AF54" i="1"/>
  <c r="AF17" i="1"/>
  <c r="AD180" i="1"/>
  <c r="AD156" i="1"/>
  <c r="AD90" i="1"/>
  <c r="AD66" i="1"/>
  <c r="AD39" i="1"/>
  <c r="AD18" i="1"/>
  <c r="AB175" i="1"/>
  <c r="AB87" i="1"/>
  <c r="AB65" i="1"/>
  <c r="AB39" i="1"/>
  <c r="AB15" i="1"/>
  <c r="W174" i="1"/>
  <c r="W142" i="1"/>
  <c r="W117" i="1"/>
  <c r="AP161" i="1"/>
  <c r="AN125" i="1"/>
  <c r="AN95" i="1"/>
  <c r="AN40" i="1"/>
  <c r="AL149" i="1"/>
  <c r="AL119" i="1"/>
  <c r="AL77" i="1"/>
  <c r="AL63" i="1"/>
  <c r="AL47" i="1"/>
  <c r="AL5" i="1"/>
  <c r="AJ172" i="1"/>
  <c r="AJ156" i="1"/>
  <c r="AJ113" i="1"/>
  <c r="AJ99" i="1"/>
  <c r="AJ82" i="1"/>
  <c r="AJ40" i="1"/>
  <c r="AJ22" i="1"/>
  <c r="AH173" i="1"/>
  <c r="AH136" i="1"/>
  <c r="AH118" i="1"/>
  <c r="AH102" i="1"/>
  <c r="AH53" i="1"/>
  <c r="AH35" i="1"/>
  <c r="AH5" i="1"/>
  <c r="AF148" i="1"/>
  <c r="AF70" i="1"/>
  <c r="AF52" i="1"/>
  <c r="AF16" i="1"/>
  <c r="AD132" i="1"/>
  <c r="AD107" i="1"/>
  <c r="AD87" i="1"/>
  <c r="AD17" i="1"/>
  <c r="AB171" i="1"/>
  <c r="AB63" i="1"/>
  <c r="AB38" i="1"/>
  <c r="AB14" i="1"/>
  <c r="W171" i="1"/>
  <c r="W66" i="1"/>
  <c r="AL49" i="1"/>
  <c r="AP49" i="1"/>
  <c r="AR49" i="1"/>
  <c r="AT49" i="1"/>
  <c r="AV49" i="1"/>
  <c r="AX49" i="1"/>
  <c r="AZ49" i="1"/>
  <c r="AL109" i="1"/>
  <c r="AP109" i="1"/>
  <c r="AR109" i="1"/>
  <c r="AT109" i="1"/>
  <c r="AV109" i="1"/>
  <c r="AX109" i="1"/>
  <c r="AL13" i="1"/>
  <c r="AP13" i="1"/>
  <c r="AR13" i="1"/>
  <c r="AT13" i="1"/>
  <c r="AV13" i="1"/>
  <c r="AX13" i="1"/>
  <c r="AZ13" i="1"/>
  <c r="BB182" i="1"/>
  <c r="BB170" i="1"/>
  <c r="BB158" i="1"/>
  <c r="BB146" i="1"/>
  <c r="BB134" i="1"/>
  <c r="BB122" i="1"/>
  <c r="BB109" i="1"/>
  <c r="BB97" i="1"/>
  <c r="BB85" i="1"/>
  <c r="BB73" i="1"/>
  <c r="BB49" i="1"/>
  <c r="BB13" i="1"/>
  <c r="AZ109" i="1"/>
  <c r="AP181" i="1"/>
  <c r="AR181" i="1"/>
  <c r="AN181" i="1"/>
  <c r="AL181" i="1"/>
  <c r="AJ181" i="1"/>
  <c r="AP169" i="1"/>
  <c r="AR169" i="1"/>
  <c r="AN169" i="1"/>
  <c r="AL169" i="1"/>
  <c r="AH169" i="1"/>
  <c r="AP157" i="1"/>
  <c r="AR157" i="1"/>
  <c r="AH157" i="1"/>
  <c r="AN157" i="1"/>
  <c r="AL157" i="1"/>
  <c r="AP145" i="1"/>
  <c r="AR145" i="1"/>
  <c r="AH145" i="1"/>
  <c r="AN145" i="1"/>
  <c r="AL145" i="1"/>
  <c r="AJ145" i="1"/>
  <c r="AH133" i="1"/>
  <c r="AJ133" i="1"/>
  <c r="AP133" i="1"/>
  <c r="AR133" i="1"/>
  <c r="AN133" i="1"/>
  <c r="AH121" i="1"/>
  <c r="AJ121" i="1"/>
  <c r="AP121" i="1"/>
  <c r="AR121" i="1"/>
  <c r="AN121" i="1"/>
  <c r="AP108" i="1"/>
  <c r="AR108" i="1"/>
  <c r="AT108" i="1"/>
  <c r="AJ108" i="1"/>
  <c r="AN108" i="1"/>
  <c r="AL108" i="1"/>
  <c r="AJ96" i="1"/>
  <c r="AL96" i="1"/>
  <c r="AP96" i="1"/>
  <c r="AR96" i="1"/>
  <c r="AT96" i="1"/>
  <c r="AJ84" i="1"/>
  <c r="AL84" i="1"/>
  <c r="AP84" i="1"/>
  <c r="AR84" i="1"/>
  <c r="AT84" i="1"/>
  <c r="AP72" i="1"/>
  <c r="AR72" i="1"/>
  <c r="AT72" i="1"/>
  <c r="AL72" i="1"/>
  <c r="AN72" i="1"/>
  <c r="AN60" i="1"/>
  <c r="AP60" i="1"/>
  <c r="AR60" i="1"/>
  <c r="AT60" i="1"/>
  <c r="AL60" i="1"/>
  <c r="AN48" i="1"/>
  <c r="AP48" i="1"/>
  <c r="AR48" i="1"/>
  <c r="AL48" i="1"/>
  <c r="AJ48" i="1"/>
  <c r="AJ36" i="1"/>
  <c r="AP36" i="1"/>
  <c r="AR36" i="1"/>
  <c r="AN36" i="1"/>
  <c r="AL36" i="1"/>
  <c r="AP24" i="1"/>
  <c r="AR24" i="1"/>
  <c r="AT24" i="1"/>
  <c r="AN24" i="1"/>
  <c r="AL24" i="1"/>
  <c r="AP12" i="1"/>
  <c r="AR12" i="1"/>
  <c r="AT12" i="1"/>
  <c r="AN12" i="1"/>
  <c r="AJ12" i="1"/>
  <c r="AL12" i="1"/>
  <c r="AJ146" i="1"/>
  <c r="AP146" i="1"/>
  <c r="AR146" i="1"/>
  <c r="AT146" i="1"/>
  <c r="AV146" i="1"/>
  <c r="AX146" i="1"/>
  <c r="AL85" i="1"/>
  <c r="AP85" i="1"/>
  <c r="AR85" i="1"/>
  <c r="AT85" i="1"/>
  <c r="AV85" i="1"/>
  <c r="AX85" i="1"/>
  <c r="AJ158" i="1"/>
  <c r="AP158" i="1"/>
  <c r="AR158" i="1"/>
  <c r="AT158" i="1"/>
  <c r="AV158" i="1"/>
  <c r="AX158" i="1"/>
  <c r="AL37" i="1"/>
  <c r="AP37" i="1"/>
  <c r="AR37" i="1"/>
  <c r="AT37" i="1"/>
  <c r="AV37" i="1"/>
  <c r="AX37" i="1"/>
  <c r="AZ37" i="1"/>
  <c r="AV169" i="1"/>
  <c r="AL133" i="1"/>
  <c r="AL97" i="1"/>
  <c r="AP97" i="1"/>
  <c r="AR97" i="1"/>
  <c r="AT97" i="1"/>
  <c r="AV97" i="1"/>
  <c r="AX97" i="1"/>
  <c r="AX145" i="1"/>
  <c r="AV181" i="1"/>
  <c r="AV36" i="1"/>
  <c r="AJ157" i="1"/>
  <c r="AL73" i="1"/>
  <c r="AP73" i="1"/>
  <c r="AR73" i="1"/>
  <c r="AT73" i="1"/>
  <c r="AV73" i="1"/>
  <c r="AX73" i="1"/>
  <c r="AX157" i="1"/>
  <c r="AX12" i="1"/>
  <c r="AV48" i="1"/>
  <c r="AJ169" i="1"/>
  <c r="U122" i="1"/>
  <c r="AP122" i="1"/>
  <c r="AR122" i="1"/>
  <c r="AT122" i="1"/>
  <c r="AV122" i="1"/>
  <c r="AX122" i="1"/>
  <c r="AL25" i="1"/>
  <c r="AP25" i="1"/>
  <c r="AR25" i="1"/>
  <c r="AT25" i="1"/>
  <c r="AV25" i="1"/>
  <c r="AX25" i="1"/>
  <c r="AZ25" i="1"/>
  <c r="AJ134" i="1"/>
  <c r="AP134" i="1"/>
  <c r="AR134" i="1"/>
  <c r="AT134" i="1"/>
  <c r="AV134" i="1"/>
  <c r="AX134" i="1"/>
  <c r="AJ170" i="1"/>
  <c r="AP170" i="1"/>
  <c r="AR170" i="1"/>
  <c r="AT170" i="1"/>
  <c r="AV170" i="1"/>
  <c r="AX170" i="1"/>
  <c r="AJ182" i="1"/>
  <c r="AP182" i="1"/>
  <c r="AR182" i="1"/>
  <c r="AT182" i="1"/>
  <c r="AV182" i="1"/>
  <c r="AX182" i="1"/>
  <c r="AL61" i="1"/>
  <c r="AP61" i="1"/>
  <c r="AR61" i="1"/>
  <c r="AT61" i="1"/>
  <c r="AV61" i="1"/>
  <c r="AX61" i="1"/>
  <c r="AZ61" i="1"/>
  <c r="AT133" i="1"/>
  <c r="AT48" i="1"/>
  <c r="AF136" i="1"/>
  <c r="AF99" i="1"/>
  <c r="AD176" i="1"/>
  <c r="AD114" i="1"/>
  <c r="AD10" i="1"/>
  <c r="AB172" i="1"/>
  <c r="AB150" i="1"/>
  <c r="AB127" i="1"/>
  <c r="AB102" i="1"/>
  <c r="AB42" i="1"/>
  <c r="AB19" i="1"/>
  <c r="W161" i="1"/>
  <c r="W138" i="1"/>
  <c r="W52" i="1"/>
  <c r="W29" i="1"/>
  <c r="U160" i="1"/>
  <c r="W89" i="1"/>
  <c r="U127" i="1"/>
  <c r="AH148" i="1"/>
  <c r="AH131" i="1"/>
  <c r="AF164" i="1"/>
  <c r="AF111" i="1"/>
  <c r="AF75" i="1"/>
  <c r="AF41" i="1"/>
  <c r="AD148" i="1"/>
  <c r="AD127" i="1"/>
  <c r="AD65" i="1"/>
  <c r="AD5" i="1"/>
  <c r="AB53" i="1"/>
  <c r="W172" i="1"/>
  <c r="W63" i="1"/>
  <c r="W43" i="1"/>
  <c r="U151" i="1"/>
  <c r="U119" i="1"/>
  <c r="AH162" i="1"/>
  <c r="AD124" i="1"/>
  <c r="AD82" i="1"/>
  <c r="AD3" i="1"/>
  <c r="AB52" i="1"/>
  <c r="U148" i="1"/>
  <c r="U173" i="1"/>
  <c r="AH150" i="1"/>
  <c r="AH137" i="1"/>
  <c r="AH64" i="1"/>
  <c r="AF173" i="1"/>
  <c r="AF100" i="1"/>
  <c r="AF28" i="1"/>
  <c r="U137" i="1"/>
  <c r="U100" i="1"/>
  <c r="AJ88" i="1"/>
  <c r="AH174" i="1"/>
  <c r="AH161" i="1"/>
  <c r="AH76" i="1"/>
  <c r="AH4" i="1"/>
  <c r="AF155" i="1"/>
  <c r="AF112" i="1"/>
  <c r="AF82" i="1"/>
  <c r="AF40" i="1"/>
  <c r="AD161" i="1"/>
  <c r="AD144" i="1"/>
  <c r="AD112" i="1"/>
  <c r="AD94" i="1"/>
  <c r="AD64" i="1"/>
  <c r="AD46" i="1"/>
  <c r="AB179" i="1"/>
  <c r="AB149" i="1"/>
  <c r="AB131" i="1"/>
  <c r="AB100" i="1"/>
  <c r="AB64" i="1"/>
  <c r="AB28" i="1"/>
  <c r="W173" i="1"/>
  <c r="W137" i="1"/>
  <c r="W100" i="1"/>
  <c r="W64" i="1"/>
  <c r="W28" i="1"/>
  <c r="U134" i="1"/>
  <c r="AF126" i="1"/>
  <c r="U150" i="1"/>
  <c r="AD174" i="1"/>
  <c r="AD126" i="1"/>
  <c r="AD77" i="1"/>
  <c r="AD29" i="1"/>
  <c r="AB162" i="1"/>
  <c r="AB113" i="1"/>
  <c r="U149" i="1"/>
  <c r="U112" i="1"/>
  <c r="AH101" i="1"/>
  <c r="AH29" i="1"/>
  <c r="AF138" i="1"/>
  <c r="AF65" i="1"/>
  <c r="AD173" i="1"/>
  <c r="AD125" i="1"/>
  <c r="AD76" i="1"/>
  <c r="AD28" i="1"/>
  <c r="AB161" i="1"/>
  <c r="AB143" i="1"/>
  <c r="AB112" i="1"/>
  <c r="AB77" i="1"/>
  <c r="AB41" i="1"/>
  <c r="AB5" i="1"/>
  <c r="W150" i="1"/>
  <c r="W113" i="1"/>
  <c r="W77" i="1"/>
  <c r="W41" i="1"/>
  <c r="W5" i="1"/>
  <c r="AH100" i="1"/>
  <c r="AH28" i="1"/>
  <c r="AF179" i="1"/>
  <c r="AF137" i="1"/>
  <c r="AF106" i="1"/>
  <c r="AF34" i="1"/>
  <c r="AB76" i="1"/>
  <c r="AB40" i="1"/>
  <c r="AB4" i="1"/>
  <c r="W149" i="1"/>
  <c r="W112" i="1"/>
  <c r="W76" i="1"/>
  <c r="W40" i="1"/>
  <c r="W4" i="1"/>
  <c r="U146" i="1"/>
  <c r="U109" i="1"/>
  <c r="AJ29" i="1"/>
  <c r="AH113" i="1"/>
  <c r="AH41" i="1"/>
  <c r="AF77" i="1"/>
  <c r="AD138" i="1"/>
  <c r="AD41" i="1"/>
  <c r="AB174" i="1"/>
  <c r="AB126" i="1"/>
  <c r="W111" i="1"/>
  <c r="U144" i="1"/>
  <c r="U107" i="1"/>
  <c r="AN182" i="1"/>
  <c r="AN170" i="1"/>
  <c r="AN158" i="1"/>
  <c r="AN146" i="1"/>
  <c r="AN134" i="1"/>
  <c r="AN122" i="1"/>
  <c r="AN109" i="1"/>
  <c r="AN97" i="1"/>
  <c r="AN85" i="1"/>
  <c r="AN73" i="1"/>
  <c r="AN61" i="1"/>
  <c r="AN49" i="1"/>
  <c r="AN37" i="1"/>
  <c r="AN25" i="1"/>
  <c r="AN13" i="1"/>
  <c r="AL182" i="1"/>
  <c r="AL170" i="1"/>
  <c r="AL158" i="1"/>
  <c r="AL146" i="1"/>
  <c r="AL134" i="1"/>
  <c r="AL122" i="1"/>
  <c r="AJ122" i="1"/>
  <c r="AH167" i="1"/>
  <c r="AH40" i="1"/>
  <c r="AF149" i="1"/>
  <c r="AF118" i="1"/>
  <c r="AF46" i="1"/>
  <c r="AF4" i="1"/>
  <c r="AD168" i="1"/>
  <c r="AD137" i="1"/>
  <c r="AD70" i="1"/>
  <c r="AD22" i="1"/>
  <c r="AB155" i="1"/>
  <c r="AB125" i="1"/>
  <c r="AB106" i="1"/>
  <c r="AB138" i="1"/>
  <c r="AH138" i="1"/>
  <c r="AF174" i="1"/>
  <c r="AF101" i="1"/>
  <c r="AB167" i="1"/>
  <c r="AB118" i="1"/>
  <c r="AD182" i="1"/>
  <c r="AF182" i="1"/>
  <c r="AH182" i="1"/>
  <c r="AB182" i="1"/>
  <c r="W182" i="1"/>
  <c r="U182" i="1"/>
  <c r="AD170" i="1"/>
  <c r="AF170" i="1"/>
  <c r="AH170" i="1"/>
  <c r="AB170" i="1"/>
  <c r="W170" i="1"/>
  <c r="U170" i="1"/>
  <c r="AD158" i="1"/>
  <c r="AF158" i="1"/>
  <c r="AH158" i="1"/>
  <c r="AB158" i="1"/>
  <c r="W158" i="1"/>
  <c r="U158" i="1"/>
  <c r="AD146" i="1"/>
  <c r="AF146" i="1"/>
  <c r="AH146" i="1"/>
  <c r="AB146" i="1"/>
  <c r="W146" i="1"/>
  <c r="AD134" i="1"/>
  <c r="AF134" i="1"/>
  <c r="AH134" i="1"/>
  <c r="AB134" i="1"/>
  <c r="W134" i="1"/>
  <c r="AD122" i="1"/>
  <c r="AF122" i="1"/>
  <c r="AH122" i="1"/>
  <c r="AB122" i="1"/>
  <c r="W122" i="1"/>
  <c r="AD109" i="1"/>
  <c r="AF109" i="1"/>
  <c r="AH109" i="1"/>
  <c r="AJ109" i="1"/>
  <c r="AB109" i="1"/>
  <c r="W109" i="1"/>
  <c r="U97" i="1"/>
  <c r="AF97" i="1"/>
  <c r="AH97" i="1"/>
  <c r="AJ97" i="1"/>
  <c r="AF85" i="1"/>
  <c r="AH85" i="1"/>
  <c r="AJ85" i="1"/>
  <c r="AD85" i="1"/>
  <c r="AB85" i="1"/>
  <c r="W85" i="1"/>
  <c r="AF73" i="1"/>
  <c r="AH73" i="1"/>
  <c r="AJ73" i="1"/>
  <c r="AD73" i="1"/>
  <c r="AB73" i="1"/>
  <c r="W73" i="1"/>
  <c r="AF61" i="1"/>
  <c r="AH61" i="1"/>
  <c r="AJ61" i="1"/>
  <c r="AD61" i="1"/>
  <c r="AB61" i="1"/>
  <c r="W61" i="1"/>
  <c r="AF49" i="1"/>
  <c r="AH49" i="1"/>
  <c r="AJ49" i="1"/>
  <c r="AD49" i="1"/>
  <c r="AB49" i="1"/>
  <c r="W49" i="1"/>
  <c r="AF37" i="1"/>
  <c r="AH37" i="1"/>
  <c r="AJ37" i="1"/>
  <c r="AD37" i="1"/>
  <c r="AB37" i="1"/>
  <c r="W37" i="1"/>
  <c r="AF25" i="1"/>
  <c r="AH25" i="1"/>
  <c r="AJ25" i="1"/>
  <c r="AD25" i="1"/>
  <c r="AB25" i="1"/>
  <c r="W25" i="1"/>
  <c r="AF13" i="1"/>
  <c r="AH13" i="1"/>
  <c r="AJ13" i="1"/>
  <c r="AD13" i="1"/>
  <c r="AB13" i="1"/>
  <c r="W13" i="1"/>
  <c r="AD181" i="1"/>
  <c r="AF181" i="1"/>
  <c r="AB181" i="1"/>
  <c r="W181" i="1"/>
  <c r="U181" i="1"/>
  <c r="AD169" i="1"/>
  <c r="AF169" i="1"/>
  <c r="AB169" i="1"/>
  <c r="W169" i="1"/>
  <c r="U169" i="1"/>
  <c r="AD157" i="1"/>
  <c r="AF157" i="1"/>
  <c r="AB157" i="1"/>
  <c r="W157" i="1"/>
  <c r="U157" i="1"/>
  <c r="AD145" i="1"/>
  <c r="AF145" i="1"/>
  <c r="AB145" i="1"/>
  <c r="W145" i="1"/>
  <c r="U145" i="1"/>
  <c r="AD133" i="1"/>
  <c r="AF133" i="1"/>
  <c r="AB133" i="1"/>
  <c r="W133" i="1"/>
  <c r="U133" i="1"/>
  <c r="AD121" i="1"/>
  <c r="AF121" i="1"/>
  <c r="AB121" i="1"/>
  <c r="W121" i="1"/>
  <c r="U121" i="1"/>
  <c r="AD108" i="1"/>
  <c r="AF108" i="1"/>
  <c r="AH108" i="1"/>
  <c r="AB108" i="1"/>
  <c r="W108" i="1"/>
  <c r="U108" i="1"/>
  <c r="AF96" i="1"/>
  <c r="AH96" i="1"/>
  <c r="AD96" i="1"/>
  <c r="AB96" i="1"/>
  <c r="W96" i="1"/>
  <c r="AF84" i="1"/>
  <c r="AH84" i="1"/>
  <c r="AD84" i="1"/>
  <c r="AB84" i="1"/>
  <c r="W84" i="1"/>
  <c r="AF72" i="1"/>
  <c r="AH72" i="1"/>
  <c r="AD72" i="1"/>
  <c r="AB72" i="1"/>
  <c r="W72" i="1"/>
  <c r="AF60" i="1"/>
  <c r="AH60" i="1"/>
  <c r="AD60" i="1"/>
  <c r="AB60" i="1"/>
  <c r="W60" i="1"/>
  <c r="AF48" i="1"/>
  <c r="AH48" i="1"/>
  <c r="AD48" i="1"/>
  <c r="AB48" i="1"/>
  <c r="W48" i="1"/>
  <c r="AF36" i="1"/>
  <c r="AH36" i="1"/>
  <c r="AD36" i="1"/>
  <c r="AB36" i="1"/>
  <c r="W36" i="1"/>
  <c r="AF24" i="1"/>
  <c r="AH24" i="1"/>
  <c r="AD24" i="1"/>
  <c r="AB24" i="1"/>
  <c r="W24" i="1"/>
  <c r="AF12" i="1"/>
  <c r="AH12" i="1"/>
  <c r="AD12" i="1"/>
  <c r="AB12" i="1"/>
  <c r="W12" i="1"/>
  <c r="AH181" i="1"/>
  <c r="AJ24" i="1"/>
  <c r="U168" i="1"/>
  <c r="U156" i="1"/>
  <c r="U143" i="1"/>
  <c r="U131" i="1"/>
  <c r="U118" i="1"/>
  <c r="U106" i="1"/>
  <c r="W95" i="1"/>
  <c r="W83" i="1"/>
  <c r="W71" i="1"/>
  <c r="W59" i="1"/>
  <c r="W47" i="1"/>
  <c r="W35" i="1"/>
  <c r="W23" i="1"/>
  <c r="W11" i="1"/>
  <c r="U180" i="1"/>
  <c r="U167" i="1"/>
  <c r="U155" i="1"/>
  <c r="AB95" i="1"/>
  <c r="AB83" i="1"/>
  <c r="AB71" i="1"/>
  <c r="AB59" i="1"/>
  <c r="AB47" i="1"/>
  <c r="AB35" i="1"/>
  <c r="AB23" i="1"/>
  <c r="AB11" i="1"/>
  <c r="W180" i="1"/>
  <c r="W168" i="1"/>
  <c r="W156" i="1"/>
  <c r="W144" i="1"/>
  <c r="W132" i="1"/>
  <c r="W119" i="1"/>
  <c r="W107" i="1"/>
  <c r="W94" i="1"/>
  <c r="W82" i="1"/>
  <c r="W70" i="1"/>
  <c r="W58" i="1"/>
  <c r="W46" i="1"/>
  <c r="W34" i="1"/>
  <c r="W22" i="1"/>
  <c r="W10" i="1"/>
  <c r="U179" i="1"/>
  <c r="W179" i="1"/>
  <c r="W167" i="1"/>
  <c r="W155" i="1"/>
  <c r="W143" i="1"/>
  <c r="W131" i="1"/>
  <c r="W118" i="1"/>
  <c r="W106" i="1"/>
  <c r="AD97" i="1"/>
  <c r="AB97" i="1"/>
  <c r="W97" i="1"/>
  <c r="F24" i="1"/>
  <c r="F73" i="1"/>
  <c r="F86" i="1"/>
  <c r="F77" i="1"/>
  <c r="F162" i="1"/>
  <c r="F54" i="1"/>
  <c r="F164" i="1"/>
  <c r="F79" i="1"/>
  <c r="F76" i="1"/>
  <c r="F81" i="1"/>
  <c r="F12" i="1"/>
  <c r="F41" i="1"/>
  <c r="F70" i="1"/>
  <c r="F152" i="1"/>
  <c r="F78" i="1"/>
  <c r="F177" i="1"/>
  <c r="F8" i="1"/>
  <c r="F80" i="1"/>
  <c r="F28" i="1"/>
  <c r="F155" i="1"/>
  <c r="F55" i="1"/>
  <c r="F179" i="1"/>
  <c r="F89" i="1"/>
  <c r="F173" i="1"/>
  <c r="F121" i="1"/>
  <c r="F48" i="1"/>
  <c r="F153" i="1"/>
  <c r="F62" i="1"/>
  <c r="F135" i="1"/>
  <c r="F139" i="1"/>
  <c r="F125" i="1"/>
  <c r="F118" i="1"/>
  <c r="F178" i="1"/>
  <c r="F72" i="1"/>
  <c r="F57" i="1"/>
  <c r="J184" i="5" l="1"/>
  <c r="I184" i="5"/>
  <c r="D184" i="5"/>
  <c r="H184" i="5"/>
  <c r="G184" i="5"/>
  <c r="K14" i="5"/>
  <c r="G2" i="4"/>
  <c r="G2" i="3"/>
  <c r="BG2" i="1"/>
  <c r="BG184" i="1" s="1"/>
  <c r="AZ2" i="3" l="1"/>
  <c r="AT2" i="4"/>
  <c r="K184" i="5"/>
  <c r="AS184" i="4"/>
  <c r="AR184" i="4"/>
  <c r="AY184" i="3"/>
  <c r="AY184" i="2"/>
  <c r="AZ2" i="2"/>
  <c r="AX184" i="2"/>
  <c r="BH2" i="1"/>
  <c r="BH184" i="1" s="1"/>
  <c r="AX184" i="3"/>
  <c r="AT184" i="4" l="1"/>
  <c r="AZ184" i="3"/>
  <c r="AZ184" i="2"/>
  <c r="AA222" i="3"/>
  <c r="AM184" i="3"/>
  <c r="J2" i="4" l="1"/>
  <c r="AB222" i="6" s="1"/>
  <c r="P2" i="4"/>
  <c r="O2" i="4"/>
  <c r="I184" i="4"/>
  <c r="P2" i="3"/>
  <c r="O2" i="3"/>
  <c r="I184" i="3"/>
  <c r="J2" i="2"/>
  <c r="AA222" i="2" s="1"/>
  <c r="P2" i="2"/>
  <c r="O2" i="2"/>
  <c r="I184" i="2"/>
  <c r="AB222" i="4" l="1"/>
  <c r="P2" i="1"/>
  <c r="O2" i="1"/>
  <c r="AM184" i="4" l="1"/>
  <c r="AM186" i="4" s="1"/>
  <c r="AI184" i="4"/>
  <c r="AG184" i="4"/>
  <c r="AE184" i="4"/>
  <c r="AC184" i="4"/>
  <c r="AA184" i="4"/>
  <c r="N184" i="4"/>
  <c r="M184" i="4"/>
  <c r="AS184" i="3"/>
  <c r="AQ184" i="3"/>
  <c r="AO184" i="3"/>
  <c r="AO186" i="3" s="1"/>
  <c r="AK184" i="3"/>
  <c r="AI184" i="3"/>
  <c r="AG184" i="3"/>
  <c r="AG186" i="3" s="1"/>
  <c r="AE184" i="3"/>
  <c r="AC184" i="3"/>
  <c r="AA184" i="3"/>
  <c r="N184" i="3"/>
  <c r="M184" i="3"/>
  <c r="F2" i="1"/>
  <c r="F2" i="4"/>
  <c r="F2" i="3"/>
  <c r="F2" i="2"/>
  <c r="F184" i="1" l="1"/>
  <c r="AI186" i="4"/>
  <c r="AR185" i="4"/>
  <c r="AS185" i="4"/>
  <c r="AT185" i="4"/>
  <c r="F184" i="3"/>
  <c r="F184" i="2"/>
  <c r="N185" i="3"/>
  <c r="AX185" i="3"/>
  <c r="AY185" i="3"/>
  <c r="AZ185" i="3"/>
  <c r="N185" i="4"/>
  <c r="AS184" i="2"/>
  <c r="AQ184" i="2"/>
  <c r="AO184" i="2"/>
  <c r="AM184" i="2"/>
  <c r="AK184" i="2"/>
  <c r="AK186" i="2" s="1"/>
  <c r="AI184" i="2"/>
  <c r="AI186" i="2" s="1"/>
  <c r="AG184" i="2"/>
  <c r="AE184" i="2"/>
  <c r="AC184" i="2"/>
  <c r="AA184" i="2"/>
  <c r="N184" i="2"/>
  <c r="M184" i="2"/>
  <c r="N185" i="2" l="1"/>
  <c r="F184" i="4"/>
  <c r="AY185" i="2"/>
  <c r="AZ185" i="2"/>
  <c r="AX185" i="2"/>
  <c r="T2" i="4" l="1"/>
  <c r="AL2" i="4" s="1"/>
  <c r="T2" i="1"/>
  <c r="T184" i="1" s="1"/>
  <c r="U2" i="3" l="1"/>
  <c r="AN2" i="3"/>
  <c r="T184" i="4"/>
  <c r="AK185" i="4" s="1"/>
  <c r="AJ2" i="4"/>
  <c r="W2" i="4"/>
  <c r="U2" i="4"/>
  <c r="AD2" i="4"/>
  <c r="AH2" i="4"/>
  <c r="AN2" i="4"/>
  <c r="T184" i="3"/>
  <c r="AM185" i="3" s="1"/>
  <c r="AT2" i="3"/>
  <c r="W2" i="3"/>
  <c r="T184" i="2"/>
  <c r="AS185" i="2" s="1"/>
  <c r="AB2" i="2"/>
  <c r="W2" i="2"/>
  <c r="U2" i="2"/>
  <c r="AH2" i="1"/>
  <c r="AF2" i="1"/>
  <c r="BB2" i="1"/>
  <c r="U2" i="1"/>
  <c r="W2" i="1"/>
  <c r="AH2" i="2"/>
  <c r="AD2" i="2"/>
  <c r="AB2" i="4"/>
  <c r="AF2" i="4"/>
  <c r="AB2" i="3"/>
  <c r="AD2" i="3"/>
  <c r="AF2" i="3"/>
  <c r="AH2" i="3"/>
  <c r="AJ2" i="3"/>
  <c r="AL2" i="3"/>
  <c r="AP2" i="3"/>
  <c r="AR2" i="3"/>
  <c r="AF2" i="2"/>
  <c r="AJ2" i="2"/>
  <c r="AL2" i="2"/>
  <c r="AN2" i="2"/>
  <c r="AP2" i="2"/>
  <c r="AR2" i="2"/>
  <c r="AT2" i="2"/>
  <c r="AL2" i="1"/>
  <c r="AN2" i="1"/>
  <c r="AR2" i="1"/>
  <c r="AJ2" i="1"/>
  <c r="AT2" i="1"/>
  <c r="AP2" i="1"/>
  <c r="AV2" i="1"/>
  <c r="AX2" i="1"/>
  <c r="AB2" i="1"/>
  <c r="AZ2" i="1"/>
  <c r="AD2" i="1"/>
  <c r="AA186" i="1"/>
  <c r="N185" i="1"/>
  <c r="AI186" i="1"/>
  <c r="BG185" i="1" l="1"/>
  <c r="BF185" i="1"/>
  <c r="BH185" i="1"/>
  <c r="AA185" i="1"/>
  <c r="AM185" i="4"/>
  <c r="AI185" i="4"/>
  <c r="AG185" i="4"/>
  <c r="AE185" i="4"/>
  <c r="AC185" i="4"/>
  <c r="AA185" i="4"/>
  <c r="AE185" i="3"/>
  <c r="AC185" i="3"/>
  <c r="AO185" i="3"/>
  <c r="AS185" i="3"/>
  <c r="AQ185" i="3"/>
  <c r="AG185" i="3"/>
  <c r="AI185" i="3"/>
  <c r="AK185" i="3"/>
  <c r="AA185" i="3"/>
  <c r="AO185" i="2"/>
  <c r="AM185" i="2"/>
  <c r="AE185" i="2"/>
  <c r="AA185" i="2"/>
  <c r="AC185" i="2"/>
  <c r="AQ185" i="2"/>
  <c r="AG185" i="2"/>
  <c r="AK185" i="2"/>
  <c r="AI185" i="2"/>
  <c r="AM185" i="1"/>
  <c r="AK185" i="1"/>
  <c r="AW185" i="1"/>
  <c r="AI185" i="1"/>
  <c r="AO185" i="1"/>
  <c r="AE185" i="1"/>
  <c r="BA185" i="1"/>
  <c r="AU185" i="1"/>
  <c r="AQ185" i="1"/>
  <c r="AS185" i="1"/>
  <c r="AG185" i="1"/>
  <c r="AC185" i="1"/>
  <c r="AY185" i="1"/>
</calcChain>
</file>

<file path=xl/sharedStrings.xml><?xml version="1.0" encoding="utf-8"?>
<sst xmlns="http://schemas.openxmlformats.org/spreadsheetml/2006/main" count="4977" uniqueCount="456">
  <si>
    <t>level</t>
  </si>
  <si>
    <t>reg</t>
  </si>
  <si>
    <t>oik</t>
  </si>
  <si>
    <t>tik</t>
  </si>
  <si>
    <t>uik</t>
  </si>
  <si>
    <t>Число избирателей, внесенных в список избирателей на момент окончания голосования</t>
  </si>
  <si>
    <t>Число избирательных бюллетеней, полученных участковой избирательной комиссией</t>
  </si>
  <si>
    <t>Число избирательных бюллетеней, выданных избирателям, проголосовавшим досрочно</t>
  </si>
  <si>
    <t>Число избирательных бюллетеней, выданных в помещении для голосования в день голосования</t>
  </si>
  <si>
    <t>Число избирательных бюллетеней, выданных вне помещения для голосования в день голосования</t>
  </si>
  <si>
    <t>Явка</t>
  </si>
  <si>
    <t>Надомка</t>
  </si>
  <si>
    <t>Число погашенных избирательных бюллетеней</t>
  </si>
  <si>
    <t>Число избирательных бюллетеней, содержащихся в переносных ящиках для голосования</t>
  </si>
  <si>
    <t>Число избирательных бюллетеней, содержащихся в стационарных ящиках для голосования</t>
  </si>
  <si>
    <t>Обнаружено</t>
  </si>
  <si>
    <t>Число недействительных избирательных бюллетеней</t>
  </si>
  <si>
    <t>Число действительных избирательных бюллетеней</t>
  </si>
  <si>
    <t>Число утраченных избирательных бюллетеней</t>
  </si>
  <si>
    <t>Число избирательных бюллетеней, не учтенных при получении</t>
  </si>
  <si>
    <t>1. Политическая партия "КОММУНИСТИЧЕСКАЯ ПАРТИЯ РОССИЙСКОЙ ФЕДЕРАЦИИ"</t>
  </si>
  <si>
    <t>КПРФ</t>
  </si>
  <si>
    <t>2. Политическая партия "Российская экологическая партия "ЗЕЛЁНЫЕ"</t>
  </si>
  <si>
    <t>Экол. зеленые</t>
  </si>
  <si>
    <t>3. Политическая партия ЛДПР – Либерально-демократическая партия России</t>
  </si>
  <si>
    <t>ЛДПР</t>
  </si>
  <si>
    <t>4. Политическая партия "НОВЫЕ ЛЮДИ"</t>
  </si>
  <si>
    <t>Новые люди</t>
  </si>
  <si>
    <t>5. Всероссийская политическая партия "ЕДИНАЯ РОССИЯ"</t>
  </si>
  <si>
    <t>Единая Россия</t>
  </si>
  <si>
    <t>6. Партия СПРАВЕДЛИВАЯ РОССИЯ – ЗА ПРАВДУ</t>
  </si>
  <si>
    <t>СР</t>
  </si>
  <si>
    <t>7. Политическая партия "Российская объединенная демократическая партия "ЯБЛОКО"</t>
  </si>
  <si>
    <t>Яблоко</t>
  </si>
  <si>
    <t>8. Всероссийская политическая партия "ПАРТИЯ РОСТА"</t>
  </si>
  <si>
    <t>Роста</t>
  </si>
  <si>
    <t>9. Политическая партия РОССИЙСКАЯ ПАРТИЯ СВОБОДЫ И СПРАВЕДЛИВОСТИ</t>
  </si>
  <si>
    <t>Свободы</t>
  </si>
  <si>
    <t>10. Политическая партия КОММУНИСТИЧЕСКАЯ ПАРТИЯ КОММУНИСТЫ РОССИИ</t>
  </si>
  <si>
    <t>КР</t>
  </si>
  <si>
    <t>11. Политическая партия "Гражданская Платформа"</t>
  </si>
  <si>
    <t>Гражданская платф.</t>
  </si>
  <si>
    <t>12. Политическая партия ЗЕЛЕНАЯ АЛЬТЕРНАТИВА</t>
  </si>
  <si>
    <t>Зеленая альт.</t>
  </si>
  <si>
    <t>13. ВСЕРОССИЙСКАЯ ПОЛИТИЧЕСКАЯ ПАРТИЯ "РОДИНА"</t>
  </si>
  <si>
    <t>Родина</t>
  </si>
  <si>
    <t>14. ПАРТИЯ ПЕНСИОНЕРОВ</t>
  </si>
  <si>
    <t>Пенсионеров</t>
  </si>
  <si>
    <t>url</t>
  </si>
  <si>
    <t>ЦИК России</t>
  </si>
  <si>
    <t>Московская область</t>
  </si>
  <si>
    <t>ОИК №122</t>
  </si>
  <si>
    <t>Явка:</t>
  </si>
  <si>
    <t>Число избирателей, внесенных в список на момент окончания голосования</t>
  </si>
  <si>
    <t>Число бюллетеней, полученных участковой избирательной комиссией</t>
  </si>
  <si>
    <t>Число бюллетеней, выданных избирателям в помещении для голосования в день голосования</t>
  </si>
  <si>
    <t>Число бюллетеней, выданных избирателям, проголосовавшим вне помещения для голосования в день голосо</t>
  </si>
  <si>
    <t>Число погашенных бюллетеней</t>
  </si>
  <si>
    <t>Число бюллетеней, содержащихся в переносных ящиках для голосования</t>
  </si>
  <si>
    <t>Число бюллетеней, содержащихся в стационарных ящиках для голосования</t>
  </si>
  <si>
    <t>Число недействительных бюллетеней</t>
  </si>
  <si>
    <t>Число действительных бюллетеней</t>
  </si>
  <si>
    <t>Число утраченных бюллетеней</t>
  </si>
  <si>
    <t>Число бюллетеней, не учтенных при получении</t>
  </si>
  <si>
    <t>1. ВСЕРОССИЙСКАЯ ПОЛИТИЧЕСКАЯ ПАРТИЯ "РОДИНА"</t>
  </si>
  <si>
    <t>2. Политическая партия ЛДПР – Либерально-демократическая партия России</t>
  </si>
  <si>
    <t>3. Политическая партия "НОВЫЕ ЛЮДИ"</t>
  </si>
  <si>
    <t>4. ПАРТИЯ ПЕНСИОНЕРОВ</t>
  </si>
  <si>
    <t>5. Политическая партия "КОММУНИСТИЧЕСКАЯ ПАРТИЯ РОССИЙСКОЙ ФЕДЕРАЦИИ"</t>
  </si>
  <si>
    <t>6. Всероссийская политическая партия "ЕДИНАЯ РОССИЯ"</t>
  </si>
  <si>
    <t>7. Политическая партия "Российская экологическая партия "ЗЕЛЁНЫЕ"</t>
  </si>
  <si>
    <t>8. Политическая партия "Российская объединенная демократическая партия "ЯБЛОКО"</t>
  </si>
  <si>
    <t>9. Политическая партия КОММУНИСТИЧЕСКАЯ ПАРТИЯ КОММУНИСТЫ РОССИИ</t>
  </si>
  <si>
    <t>10. Партия СПРАВЕДЛИВАЯ РОССИЯ – ЗА ПРАВДУ</t>
  </si>
  <si>
    <t>Избирательная комиссия Московской области</t>
  </si>
  <si>
    <t>Дуленков Алексей Николаевич</t>
  </si>
  <si>
    <t>Дуленков (Яблоко)</t>
  </si>
  <si>
    <t>Калимуллин Руслан Рамилевич</t>
  </si>
  <si>
    <t>Калимуллин (Новые люди)</t>
  </si>
  <si>
    <t>Кумохин Александр Геннадиевич</t>
  </si>
  <si>
    <t>Кумохин (СР)</t>
  </si>
  <si>
    <t>Майданов Денис Васильевич</t>
  </si>
  <si>
    <t>Майданов (Единая Россия)</t>
  </si>
  <si>
    <t>Пархоменко Дмитрий Владимирович</t>
  </si>
  <si>
    <t>Пархоменко (ЛДПР)</t>
  </si>
  <si>
    <t>Степанов Федор Александрович</t>
  </si>
  <si>
    <t>Степанов (КР)</t>
  </si>
  <si>
    <t>Теняев Сергей Александрович</t>
  </si>
  <si>
    <t>Теняев (КПРФ)</t>
  </si>
  <si>
    <t>Ханафиев Жаудат Габдулганиевич</t>
  </si>
  <si>
    <t>Ханафиев (Пенсионеров)</t>
  </si>
  <si>
    <t>Шерягин Владимир Геннадьевич</t>
  </si>
  <si>
    <t>Шерягин (Родина)</t>
  </si>
  <si>
    <t>Надомка от списка</t>
  </si>
  <si>
    <t>Недействительных</t>
  </si>
  <si>
    <t>Total</t>
  </si>
  <si>
    <t>Наблюдателей</t>
  </si>
  <si>
    <t>Column1</t>
  </si>
  <si>
    <t>УИК</t>
  </si>
  <si>
    <t>Местоположение</t>
  </si>
  <si>
    <t>Column4</t>
  </si>
  <si>
    <t>Вес участка</t>
  </si>
  <si>
    <t>ОИК №13</t>
  </si>
  <si>
    <t>Сукязян Артур Вадимович</t>
  </si>
  <si>
    <t>Сукязян (Экол. зеленые)</t>
  </si>
  <si>
    <t>Вавилов Игорь Васильевич</t>
  </si>
  <si>
    <t>Вавилов (КПРФ)</t>
  </si>
  <si>
    <t>Дорогих Иван Михайлович</t>
  </si>
  <si>
    <t>Дорогих (Пенсионеров)</t>
  </si>
  <si>
    <t>Марушкин Олег Генадиевич</t>
  </si>
  <si>
    <t>Марушкин (СР)</t>
  </si>
  <si>
    <t>Павлова Татьяна Михайловна</t>
  </si>
  <si>
    <t>Павлова (Яблоко)</t>
  </si>
  <si>
    <t>Рожнов Олег Александрович</t>
  </si>
  <si>
    <t>Рожнов (Единая Россия)</t>
  </si>
  <si>
    <t>Вброс</t>
  </si>
  <si>
    <t>Перекладывание</t>
  </si>
  <si>
    <t>Оценка числа бюллетеней, сфальсифицированных в пользу ЕР</t>
  </si>
  <si>
    <t>Ивановка</t>
  </si>
  <si>
    <t>Ф. дума партии</t>
  </si>
  <si>
    <t>Ф. мособлдума партии</t>
  </si>
  <si>
    <t>Ф. дума одномандатный</t>
  </si>
  <si>
    <t>Ф. мособлдума одномандатный</t>
  </si>
  <si>
    <t>Ф. наборов бюллетеней</t>
  </si>
  <si>
    <t>Избирателей в списках</t>
  </si>
  <si>
    <t>Председатель УИК</t>
  </si>
  <si>
    <t>Кем работает полный тёзка председателя</t>
  </si>
  <si>
    <t>Макс. размер кружка</t>
  </si>
  <si>
    <t>Власихинская городская</t>
  </si>
  <si>
    <t>УИК №212</t>
  </si>
  <si>
    <t>УИК №213</t>
  </si>
  <si>
    <t>УИК №214</t>
  </si>
  <si>
    <t>УИК №215</t>
  </si>
  <si>
    <t>УИК №216</t>
  </si>
  <si>
    <t>УИК №217</t>
  </si>
  <si>
    <t>УИК №218</t>
  </si>
  <si>
    <t>УИК №219</t>
  </si>
  <si>
    <t>УИК №220</t>
  </si>
  <si>
    <t>Одинцовская городская</t>
  </si>
  <si>
    <t>УИК №693</t>
  </si>
  <si>
    <t>УИК №694</t>
  </si>
  <si>
    <t>УИК №695</t>
  </si>
  <si>
    <t>УИК №696</t>
  </si>
  <si>
    <t>УИК №697</t>
  </si>
  <si>
    <t>УИК №698</t>
  </si>
  <si>
    <t>УИК №699</t>
  </si>
  <si>
    <t>УИК №700</t>
  </si>
  <si>
    <t>УИК №701</t>
  </si>
  <si>
    <t>УИК №702</t>
  </si>
  <si>
    <t>УИК №703</t>
  </si>
  <si>
    <t>УИК №705</t>
  </si>
  <si>
    <t>УИК №2048</t>
  </si>
  <si>
    <t>УИК №2050</t>
  </si>
  <si>
    <t>УИК №2051</t>
  </si>
  <si>
    <t>УИК №2054</t>
  </si>
  <si>
    <t>УИК №2056</t>
  </si>
  <si>
    <t>УИК №2058</t>
  </si>
  <si>
    <t>УИК №2059</t>
  </si>
  <si>
    <t>УИК №2061</t>
  </si>
  <si>
    <t>УИК №2063</t>
  </si>
  <si>
    <t>УИК №2064</t>
  </si>
  <si>
    <t>УИК №2065</t>
  </si>
  <si>
    <t>УИК №2067</t>
  </si>
  <si>
    <t>УИК №2068</t>
  </si>
  <si>
    <t>УИК №2069</t>
  </si>
  <si>
    <t>УИК №2074</t>
  </si>
  <si>
    <t>УИК №3605</t>
  </si>
  <si>
    <t>УИК №3606</t>
  </si>
  <si>
    <t>УИК №3766</t>
  </si>
  <si>
    <t>УИК №3768</t>
  </si>
  <si>
    <t>УИК №3769</t>
  </si>
  <si>
    <t>УИК №3771</t>
  </si>
  <si>
    <t>УИК №3908</t>
  </si>
  <si>
    <t>УИК №3909</t>
  </si>
  <si>
    <t>УИК №3912</t>
  </si>
  <si>
    <t>УИК №3913</t>
  </si>
  <si>
    <t>УИК №3914</t>
  </si>
  <si>
    <t>УИК №3915</t>
  </si>
  <si>
    <t>УИК №3916</t>
  </si>
  <si>
    <t>УИК №3917</t>
  </si>
  <si>
    <t>УИК №3919</t>
  </si>
  <si>
    <t>УИК №3921</t>
  </si>
  <si>
    <t>УИК №3923</t>
  </si>
  <si>
    <t>УИК №3925</t>
  </si>
  <si>
    <t>УИК №3926</t>
  </si>
  <si>
    <t>УИК №3929</t>
  </si>
  <si>
    <t>УИК №3930</t>
  </si>
  <si>
    <t>УИК №3931</t>
  </si>
  <si>
    <t>УИК №3932</t>
  </si>
  <si>
    <t>УИК №3933</t>
  </si>
  <si>
    <t>УИК №3936</t>
  </si>
  <si>
    <t>УИК №3938</t>
  </si>
  <si>
    <t>УИК №3939</t>
  </si>
  <si>
    <t>УИК №3945</t>
  </si>
  <si>
    <t>УИК №3949</t>
  </si>
  <si>
    <t>УИК №3950</t>
  </si>
  <si>
    <t>УИК №3952</t>
  </si>
  <si>
    <t>УИК №3953</t>
  </si>
  <si>
    <t>УИК №3954</t>
  </si>
  <si>
    <t>УИК №3955</t>
  </si>
  <si>
    <t>УИК №3957</t>
  </si>
  <si>
    <t>УИК №3958</t>
  </si>
  <si>
    <t>УИК №3959</t>
  </si>
  <si>
    <t>УИК №3960</t>
  </si>
  <si>
    <t>УИК №3961</t>
  </si>
  <si>
    <t>УИК №3962</t>
  </si>
  <si>
    <t>УИК №3963</t>
  </si>
  <si>
    <t>УИК №3965</t>
  </si>
  <si>
    <t>УИК №3966</t>
  </si>
  <si>
    <t>УИК №3968</t>
  </si>
  <si>
    <t>УИК №3969</t>
  </si>
  <si>
    <t>УИК №3971</t>
  </si>
  <si>
    <t>УИК №3972</t>
  </si>
  <si>
    <t>УИК №3974</t>
  </si>
  <si>
    <t>УИК №3975</t>
  </si>
  <si>
    <t>УИК №3976</t>
  </si>
  <si>
    <t>УИК №3977</t>
  </si>
  <si>
    <t>УИК №3979</t>
  </si>
  <si>
    <t>УИК №3981</t>
  </si>
  <si>
    <t>УИК №3983</t>
  </si>
  <si>
    <t>УИК №3984</t>
  </si>
  <si>
    <t>УИК №3985</t>
  </si>
  <si>
    <t>УИК №3986</t>
  </si>
  <si>
    <t>УИК №3987</t>
  </si>
  <si>
    <t>УИК №3989</t>
  </si>
  <si>
    <t>УИК №3991</t>
  </si>
  <si>
    <t>УИК №3992</t>
  </si>
  <si>
    <t>Одинцовская городская № 2</t>
  </si>
  <si>
    <t>УИК №1947</t>
  </si>
  <si>
    <t>УИК №1948</t>
  </si>
  <si>
    <t>УИК №1950</t>
  </si>
  <si>
    <t>УИК №1953</t>
  </si>
  <si>
    <t>УИК №1954</t>
  </si>
  <si>
    <t>УИК №1955</t>
  </si>
  <si>
    <t>УИК №1956</t>
  </si>
  <si>
    <t>УИК №1957</t>
  </si>
  <si>
    <t>УИК №1959</t>
  </si>
  <si>
    <t>УИК №1960</t>
  </si>
  <si>
    <t>УИК №1963</t>
  </si>
  <si>
    <t>УИК №1964</t>
  </si>
  <si>
    <t>УИК №1965</t>
  </si>
  <si>
    <t>УИК №1966</t>
  </si>
  <si>
    <t>УИК №1967</t>
  </si>
  <si>
    <t>УИК №1968</t>
  </si>
  <si>
    <t>УИК №1969</t>
  </si>
  <si>
    <t>УИК №1970</t>
  </si>
  <si>
    <t>УИК №1971</t>
  </si>
  <si>
    <t>УИК №1972</t>
  </si>
  <si>
    <t>УИК №1974</t>
  </si>
  <si>
    <t>УИК №1978</t>
  </si>
  <si>
    <t>УИК №1979</t>
  </si>
  <si>
    <t>УИК №1981</t>
  </si>
  <si>
    <t>УИК №1983</t>
  </si>
  <si>
    <t>УИК №1985</t>
  </si>
  <si>
    <t>УИК №1987</t>
  </si>
  <si>
    <t>УИК №1989</t>
  </si>
  <si>
    <t>УИК №1991</t>
  </si>
  <si>
    <t>УИК №1993</t>
  </si>
  <si>
    <t>УИК №1995</t>
  </si>
  <si>
    <t>УИК №1996</t>
  </si>
  <si>
    <t>УИК №1997</t>
  </si>
  <si>
    <t>УИК №1998</t>
  </si>
  <si>
    <t>УИК №1999</t>
  </si>
  <si>
    <t>УИК №2000</t>
  </si>
  <si>
    <t>УИК №2001</t>
  </si>
  <si>
    <t>УИК №2002</t>
  </si>
  <si>
    <t>УИК №2004</t>
  </si>
  <si>
    <t>УИК №2005</t>
  </si>
  <si>
    <t>УИК №2008</t>
  </si>
  <si>
    <t>УИК №2009</t>
  </si>
  <si>
    <t>УИК №2011</t>
  </si>
  <si>
    <t>УИК №2013</t>
  </si>
  <si>
    <t>УИК №2015</t>
  </si>
  <si>
    <t>УИК №2017</t>
  </si>
  <si>
    <t>УИК №2019</t>
  </si>
  <si>
    <t>УИК №2020</t>
  </si>
  <si>
    <t>УИК №2021</t>
  </si>
  <si>
    <t>УИК №2022</t>
  </si>
  <si>
    <t>УИК №2024</t>
  </si>
  <si>
    <t>УИК №2025</t>
  </si>
  <si>
    <t>УИК №2026</t>
  </si>
  <si>
    <t>УИК №2027</t>
  </si>
  <si>
    <t>УИК №2028</t>
  </si>
  <si>
    <t>УИК №2029</t>
  </si>
  <si>
    <t>УИК №2030</t>
  </si>
  <si>
    <t>УИК №2031</t>
  </si>
  <si>
    <t>УИК №2032</t>
  </si>
  <si>
    <t>УИК №2033</t>
  </si>
  <si>
    <t>УИК №2034</t>
  </si>
  <si>
    <t>УИК №2035</t>
  </si>
  <si>
    <t>УИК №2036</t>
  </si>
  <si>
    <t>УИК №2037</t>
  </si>
  <si>
    <t>УИК №2038</t>
  </si>
  <si>
    <t>УИК №2039</t>
  </si>
  <si>
    <t>УИК №2040</t>
  </si>
  <si>
    <t>УИК №2041</t>
  </si>
  <si>
    <t>УИК №2042</t>
  </si>
  <si>
    <t>УИК №2043</t>
  </si>
  <si>
    <t>УИК №2045</t>
  </si>
  <si>
    <t>УИК №2046</t>
  </si>
  <si>
    <t>УИК №2047</t>
  </si>
  <si>
    <t>УИК №2070</t>
  </si>
  <si>
    <t>УИК №2071</t>
  </si>
  <si>
    <t>УИК №2072</t>
  </si>
  <si>
    <t>УИК №2073</t>
  </si>
  <si>
    <t>УИК №3940</t>
  </si>
  <si>
    <t>УИК №3941</t>
  </si>
  <si>
    <t>УИК №3943</t>
  </si>
  <si>
    <t>УИК №3944</t>
  </si>
  <si>
    <t>УИК №3946</t>
  </si>
  <si>
    <t>УИК №3947</t>
  </si>
  <si>
    <t>УИК №3948</t>
  </si>
  <si>
    <t>Власиха</t>
  </si>
  <si>
    <t>http://www.vybory.izbirkom.ru/region/izbirkom?action=show&amp;root=1000161&amp;tvd=25020003107356&amp;vrn=100100225883172&amp;prver=0&amp;pronetvd=null&amp;region=50&amp;sub_region=50</t>
  </si>
  <si>
    <t>http://www.vybory.izbirkom.ru/region/izbirkom?action=show&amp;root=1000161&amp;tvd=25020003107351&amp;vrn=100100225883172&amp;prver=0&amp;pronetvd=null&amp;region=50&amp;sub_region=50</t>
  </si>
  <si>
    <t>http://www.vybory.izbirkom.ru/region/izbirkom?action=show&amp;root=1000161&amp;tvd=25020003107372&amp;vrn=100100225883172&amp;prver=0&amp;pronetvd=null&amp;region=50&amp;sub_region=50</t>
  </si>
  <si>
    <t>ТИК</t>
  </si>
  <si>
    <t>Звенигород</t>
  </si>
  <si>
    <t>Большие Вяземы</t>
  </si>
  <si>
    <t>Голицыно</t>
  </si>
  <si>
    <t>Горки-2</t>
  </si>
  <si>
    <t>Назарьево</t>
  </si>
  <si>
    <t>Кубинка</t>
  </si>
  <si>
    <t>Чупряково</t>
  </si>
  <si>
    <t>Дубки</t>
  </si>
  <si>
    <t>Лесной Городок</t>
  </si>
  <si>
    <t>Жуковка</t>
  </si>
  <si>
    <t>Ершово</t>
  </si>
  <si>
    <t>военный городок №32</t>
  </si>
  <si>
    <t>Каринское</t>
  </si>
  <si>
    <t>Саввинская Слобода</t>
  </si>
  <si>
    <t>Жаворонки</t>
  </si>
  <si>
    <t>Ликино</t>
  </si>
  <si>
    <t>Осоргино</t>
  </si>
  <si>
    <t>Перхушково</t>
  </si>
  <si>
    <t>Юдино</t>
  </si>
  <si>
    <t>Летний Отдых</t>
  </si>
  <si>
    <t>Хлюпино</t>
  </si>
  <si>
    <t>Введенское</t>
  </si>
  <si>
    <t>Гигирево</t>
  </si>
  <si>
    <t>Новый Городок</t>
  </si>
  <si>
    <t>Старый Городок</t>
  </si>
  <si>
    <t>Шарапово</t>
  </si>
  <si>
    <t>Горки-10</t>
  </si>
  <si>
    <t>Успенское</t>
  </si>
  <si>
    <t>Сосны</t>
  </si>
  <si>
    <t>Часцы</t>
  </si>
  <si>
    <t>Гарь-Покровское</t>
  </si>
  <si>
    <t>Покровский Городок</t>
  </si>
  <si>
    <t>Одинцово</t>
  </si>
  <si>
    <t>Одинцово рай. больн.</t>
  </si>
  <si>
    <t>Одинцово клин. госпиталь</t>
  </si>
  <si>
    <t>пос. НИИ Радио</t>
  </si>
  <si>
    <t>пос. ВНИИССОК</t>
  </si>
  <si>
    <t>УИК №1976</t>
  </si>
  <si>
    <t>Вырубово</t>
  </si>
  <si>
    <t>Мамоново</t>
  </si>
  <si>
    <t>Немчиновка</t>
  </si>
  <si>
    <t>Ромашково</t>
  </si>
  <si>
    <t>Заречье</t>
  </si>
  <si>
    <t>Новоивановское</t>
  </si>
  <si>
    <t>Барвиха</t>
  </si>
  <si>
    <t>Вручную задано: ЕР без фальс. (%)</t>
  </si>
  <si>
    <t>Вручную задано: КПРФ без фальс. (%)</t>
  </si>
  <si>
    <t>Вручную задано: Майданов (ЕР) без фальс. (%)</t>
  </si>
  <si>
    <t>Вручную задано: Лазутина (ЕР) без фальс. (%)</t>
  </si>
  <si>
    <t>ОИК №6</t>
  </si>
  <si>
    <t>http://www.vybory.izbirkom.ru/region/izbirkom?action=show&amp;root=502000022&amp;tvd=25020003103123&amp;vrn=25020003103095&amp;prver=0&amp;pronetvd=null&amp;region=50&amp;sub_region=50</t>
  </si>
  <si>
    <t>http://www.vybory.izbirkom.ru/region/izbirkom?action=show&amp;root=502000022&amp;tvd=25020003103124&amp;vrn=25020003103095&amp;prver=0&amp;pronetvd=null&amp;region=50&amp;sub_region=50</t>
  </si>
  <si>
    <t>http://www.vybory.izbirkom.ru/region/izbirkom?action=show&amp;root=502000048&amp;tvd=25020003103152&amp;vrn=25020003103095&amp;prver=0&amp;pronetvd=null&amp;region=50&amp;sub_region=50</t>
  </si>
  <si>
    <t>http://www.vybory.izbirkom.ru/region/izbirkom?action=show&amp;root=502000022&amp;tvd=25020003103125&amp;vrn=25020003103095&amp;prver=0&amp;pronetvd=null&amp;region=50&amp;sub_region=50</t>
  </si>
  <si>
    <t>Вручную задано: Рожнов (ЕР) без фальс. (%)</t>
  </si>
  <si>
    <t>Водонаев Станислав Юрьевич</t>
  </si>
  <si>
    <t>Водонаев (СР)</t>
  </si>
  <si>
    <t>Горбанов Андрей Павлович</t>
  </si>
  <si>
    <t>Григорьев Антон Юрьевич</t>
  </si>
  <si>
    <t>Лазутина Лариса Евгеньевна</t>
  </si>
  <si>
    <t>Сидоров Владимир Фёдорович</t>
  </si>
  <si>
    <t>Ходырев Андрей Геннадьевич</t>
  </si>
  <si>
    <t>Горбанов (Экол. зеленые)</t>
  </si>
  <si>
    <t>Григорьев (Роста)</t>
  </si>
  <si>
    <t>Лазутина (Единая Россия)</t>
  </si>
  <si>
    <t>Сидоров (ЛДПР)</t>
  </si>
  <si>
    <t>Ходырев (КПРФ)</t>
  </si>
  <si>
    <t>Вручную задано: Ходырев (КПРФ) без фальс. (%)</t>
  </si>
  <si>
    <t>Вручную задано: Теняев (КПРФ) без фальс. (%)</t>
  </si>
  <si>
    <t>Влас.</t>
  </si>
  <si>
    <t>Один.</t>
  </si>
  <si>
    <t>Один.2</t>
  </si>
  <si>
    <t>Истомова Ирина Анатольевна от ЕР</t>
  </si>
  <si>
    <t>Шашкина Галина Юрьевна от Родины</t>
  </si>
  <si>
    <t>Бакленева Татьяна Алексеевна</t>
  </si>
  <si>
    <t>Овчинникова Екатерина Витальевна</t>
  </si>
  <si>
    <t>Старцева Виктория Сергеевна</t>
  </si>
  <si>
    <t>Ослопова Татьяна Петровна</t>
  </si>
  <si>
    <t>Юсупова Евгения Сергеевна от ЕР</t>
  </si>
  <si>
    <t>эксперт отдела администрации г.о. Власиха</t>
  </si>
  <si>
    <t>предс. комитета по вопросам ЖКХ и строительства администрация г.о. Власиха</t>
  </si>
  <si>
    <t>зав. сектором по общим и социальным вопросам ТУ Часцовское администрации Одинцовского г.о.</t>
  </si>
  <si>
    <t>зам. начальника ТУ Назарьевское администрации Одинцовского г.о.</t>
  </si>
  <si>
    <t>главный бухгалтер администрации г.о. Власиха</t>
  </si>
  <si>
    <t>Митрофанова Ольга Викторовна от ЕР</t>
  </si>
  <si>
    <t>начальник отдела благоустройства, дорожного хозяйства и транспорта комитета по вопросам ЖКХ и строительства администрации г.о. Власиха</t>
  </si>
  <si>
    <t>Яркова Юлия Васильевна</t>
  </si>
  <si>
    <t>учитель школы «Перспектива» Власихи</t>
  </si>
  <si>
    <t>Калиниченко Татьяна Семеновна</t>
  </si>
  <si>
    <t>зам. директора школы им. Попова Власихи</t>
  </si>
  <si>
    <t>Куликова Светлана Владимировна от ЕР</t>
  </si>
  <si>
    <t>старший эксперт сектора экономики, финансов, бухг. учета, управления муниципальной собственностью и ЖКХ ТУ Горское администрации Одинцовского г.о.</t>
  </si>
  <si>
    <t>Фролов Андрей Теймуразович</t>
  </si>
  <si>
    <t>офицер 45-й отдельной гвардейской бригады специального назначения воздушно-десантных войск</t>
  </si>
  <si>
    <t>Панфилов Михаил Михайлович</t>
  </si>
  <si>
    <t>до 2019 г. был руководителем администрации сельского поселения Часцовское</t>
  </si>
  <si>
    <t>Голубев Илья Евгеньевич</t>
  </si>
  <si>
    <t>Стрельская Оксана Николаевна от СР</t>
  </si>
  <si>
    <t>учитель начальных классов Одинцовского лицея №6</t>
  </si>
  <si>
    <t>Буслова Галина Викторовна от Родины</t>
  </si>
  <si>
    <t>зам. директора библиотечно-информационного и методического центра Одинцовского г.о.</t>
  </si>
  <si>
    <t>Панфилов Александр Алексеевич</t>
  </si>
  <si>
    <t>зам. директора Ершовской школы</t>
  </si>
  <si>
    <t>Елисеев Сергей Николаевич</t>
  </si>
  <si>
    <t>юрист ИП в Звенигороде</t>
  </si>
  <si>
    <t>Васюнин Алексей Анатольевич от ЕР</t>
  </si>
  <si>
    <t>Кливиткина Татьяна Викторовна от СР</t>
  </si>
  <si>
    <t>учитель Одинцовской школы №12</t>
  </si>
  <si>
    <t>Зеленкова Оксана Данииловна</t>
  </si>
  <si>
    <t>директор Дубковского муниципального городского Дома культуры</t>
  </si>
  <si>
    <t>Савчук Виктория Игоревна от ЕР</t>
  </si>
  <si>
    <t>начальник сектора в ТУ Большие Вязёмы администрации Одинцовского г.о.</t>
  </si>
  <si>
    <t>Шкунова Ольга Валерьевна</t>
  </si>
  <si>
    <t>зам. директора школы «Горки-Х»</t>
  </si>
  <si>
    <t>Медведева Наталья Сергеевна</t>
  </si>
  <si>
    <t>администрация г.о. Власиха</t>
  </si>
  <si>
    <t>Чулкова Елена Владимировна</t>
  </si>
  <si>
    <t>зам. главного бухгалтера администрации г.о. Власиха</t>
  </si>
  <si>
    <t>Ремизов Александр Николаевич от ЕР</t>
  </si>
  <si>
    <t>зам. начальника ТУ Часцовское администрации Одинцовского г.о.</t>
  </si>
  <si>
    <t>Горчаков Евгений Александрович</t>
  </si>
  <si>
    <t>директор Барвихинской школы</t>
  </si>
  <si>
    <t>Широкова Татьяна Анатольевна</t>
  </si>
  <si>
    <t>учитель начальных классов Захаровской школы</t>
  </si>
  <si>
    <t>Шубин Денис Вадимович от ЕР</t>
  </si>
  <si>
    <t>старший инспектор сектора ЖКХ, муниципальной собственности и закупок ТУ Успенское администрации Одинцовского г.о.</t>
  </si>
  <si>
    <t>Кокорин Владимир Ильич от Роста</t>
  </si>
  <si>
    <t>зам. директора культурно-спортивного комплекса «Назарьевский»</t>
  </si>
  <si>
    <t>ген. директор ООО «Лифтсервис» в Больших Вязёмах</t>
  </si>
  <si>
    <t>предприниматель в Одинцово</t>
  </si>
  <si>
    <t>NB! Вычесть из сумм примерно 1000, т.к. в сумму входят посчитанные за КПРФ УИКи 3946,47</t>
  </si>
  <si>
    <t>не нашли</t>
  </si>
  <si>
    <t>участок был аннулирован после того, как его председатель Жуковская Татьяна Николаевна вбросила пачку бюллетеней в урну</t>
  </si>
  <si>
    <t>главный эксперт сектора ЖКХ и благоустройства ТУ Новоивановское администрации Одинцовского г.о.</t>
  </si>
  <si>
    <t>Дом отдыха «Огарёво»</t>
  </si>
  <si>
    <r>
      <t xml:space="preserve">Дом отдыха </t>
    </r>
    <r>
      <rPr>
        <sz val="11"/>
        <color theme="1"/>
        <rFont val="Calibri"/>
        <family val="2"/>
        <charset val="204"/>
      </rPr>
      <t>«</t>
    </r>
    <r>
      <rPr>
        <sz val="11"/>
        <color theme="1"/>
        <rFont val="Calibri"/>
        <family val="2"/>
        <scheme val="minor"/>
      </rPr>
      <t>Огарёво</t>
    </r>
    <r>
      <rPr>
        <sz val="11"/>
        <color theme="1"/>
        <rFont val="Calibri"/>
        <family val="2"/>
        <charset val="204"/>
      </rPr>
      <t>»</t>
    </r>
  </si>
  <si>
    <t>пос. Санатория им. Герцена</t>
  </si>
  <si>
    <t>КОИБ</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</si>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</sst>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sz val="11"/>
      <color theme="1"/>
      <name val="Calibri"/>
      <family val="2"/>
      <charset val="204"/>
      <scheme val="minor"/>
    </font>
    <font>
      <sz val="8"/>
      <name val="Calibri"/>
      <family val="2"/>
      <scheme val="minor"/>
    </font>
    <font>
      <sz val="11"/>
      <color rgb="FF777777"/>
      <name val="Calibri"/>
      <family val="2"/>
      <scheme val="minor"/>
    </font>
    <font>
      <b/>
      <sz val="11"/>
      <color theme="1"/>
      <name val="Calibri"/>
      <family val="2"/>
      <charset val="204"/>
      <scheme val="minor"/>
    </font>
    <font>
      <sz val="11"/>
      <color theme="1"/>
      <name val="Calibri"/>
      <family val="2"/>
      <charset val="204"/>
    </font>
  </fonts>
  <fills count="8">
    <fill>
      <patternFill patternType="none"/>
    </fill>
    <fill>
      <patternFill patternType="gray125"/>
    </fill>
    <fill>
      <patternFill patternType="solid">
        <fgColor rgb="FFCCECFF"/>
        <bgColor indexed="64"/>
      </patternFill>
    </fill>
    <fill>
      <patternFill patternType="solid">
        <fgColor rgb="FFFFCCFF"/>
        <bgColor indexed="64"/>
      </patternFill>
    </fill>
    <fill>
      <patternFill patternType="solid">
        <fgColor rgb="FFDDDDDD"/>
        <bgColor indexed="64"/>
      </patternFill>
    </fill>
    <fill>
      <patternFill patternType="solid">
        <fgColor rgb="FFFFCCCC"/>
        <bgColor indexed="64"/>
      </patternFill>
    </fill>
    <fill>
      <patternFill patternType="solid">
        <fgColor rgb="FFCCFFCC"/>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82">
    <xf numFmtId="0" fontId="0" fillId="0" borderId="0" xfId="0"/>
    <xf numFmtId="0" fontId="0" fillId="0" borderId="0" xfId="0" applyFill="1"/>
    <xf numFmtId="0" fontId="2" fillId="0" borderId="0" xfId="0" applyFont="1" applyFill="1"/>
    <xf numFmtId="164" fontId="0" fillId="0" borderId="0" xfId="0" applyNumberFormat="1" applyFill="1"/>
    <xf numFmtId="0" fontId="1" fillId="0" borderId="1" xfId="0" applyFont="1" applyFill="1" applyBorder="1" applyAlignment="1">
      <alignment horizontal="center" vertical="top"/>
    </xf>
    <xf numFmtId="0" fontId="2" fillId="0" borderId="1" xfId="0" applyFont="1" applyFill="1" applyBorder="1" applyAlignment="1">
      <alignment horizontal="left" vertical="top"/>
    </xf>
    <xf numFmtId="164" fontId="0" fillId="0" borderId="0" xfId="0" applyNumberFormat="1" applyFill="1" applyAlignment="1">
      <alignment horizontal="left"/>
    </xf>
    <xf numFmtId="164" fontId="2" fillId="0" borderId="1" xfId="0" applyNumberFormat="1" applyFont="1" applyFill="1" applyBorder="1" applyAlignment="1">
      <alignment horizontal="left" vertical="top"/>
    </xf>
    <xf numFmtId="0" fontId="0" fillId="0" borderId="0" xfId="0" applyNumberFormat="1" applyFill="1"/>
    <xf numFmtId="164" fontId="4" fillId="0" borderId="0" xfId="0" applyNumberFormat="1" applyFont="1" applyFill="1"/>
    <xf numFmtId="1" fontId="0" fillId="0" borderId="0" xfId="0" applyNumberFormat="1" applyFill="1"/>
    <xf numFmtId="1" fontId="2" fillId="0" borderId="2" xfId="0" applyNumberFormat="1" applyFont="1" applyFill="1" applyBorder="1" applyAlignment="1">
      <alignment horizontal="left" vertical="top"/>
    </xf>
    <xf numFmtId="0" fontId="2" fillId="0" borderId="2" xfId="0" applyFont="1" applyFill="1" applyBorder="1" applyAlignment="1">
      <alignment horizontal="left" vertical="top"/>
    </xf>
    <xf numFmtId="0" fontId="2" fillId="0" borderId="1" xfId="0" applyFont="1" applyFill="1" applyBorder="1" applyAlignment="1">
      <alignment vertical="top"/>
    </xf>
    <xf numFmtId="0" fontId="2" fillId="0" borderId="2" xfId="0" applyFont="1" applyFill="1" applyBorder="1" applyAlignment="1">
      <alignment vertical="top"/>
    </xf>
    <xf numFmtId="1" fontId="2" fillId="0" borderId="2" xfId="0" applyNumberFormat="1" applyFont="1" applyFill="1" applyBorder="1" applyAlignment="1">
      <alignment vertical="top"/>
    </xf>
    <xf numFmtId="1" fontId="5" fillId="0" borderId="2" xfId="0" applyNumberFormat="1" applyFont="1" applyFill="1" applyBorder="1" applyAlignment="1">
      <alignment vertical="top"/>
    </xf>
    <xf numFmtId="0" fontId="0" fillId="2" borderId="0" xfId="0" applyFill="1"/>
    <xf numFmtId="0" fontId="0" fillId="3" borderId="0" xfId="0" applyFill="1"/>
    <xf numFmtId="0" fontId="0" fillId="3" borderId="0" xfId="0" applyNumberFormat="1" applyFill="1"/>
    <xf numFmtId="164" fontId="0" fillId="3" borderId="0" xfId="0" applyNumberFormat="1" applyFill="1"/>
    <xf numFmtId="1" fontId="0" fillId="3" borderId="0" xfId="0" applyNumberFormat="1" applyFill="1"/>
    <xf numFmtId="0" fontId="0" fillId="4" borderId="0" xfId="0" applyFill="1"/>
    <xf numFmtId="164" fontId="0" fillId="4" borderId="0" xfId="0" applyNumberFormat="1" applyFill="1"/>
    <xf numFmtId="0" fontId="0" fillId="2" borderId="0" xfId="0" applyNumberFormat="1" applyFill="1"/>
    <xf numFmtId="164" fontId="0" fillId="2" borderId="0" xfId="0" applyNumberFormat="1" applyFill="1"/>
    <xf numFmtId="1" fontId="0" fillId="2" borderId="0" xfId="0" applyNumberFormat="1" applyFill="1"/>
    <xf numFmtId="164" fontId="5" fillId="4" borderId="0" xfId="0" applyNumberFormat="1" applyFont="1" applyFill="1"/>
    <xf numFmtId="0" fontId="0" fillId="5" borderId="0" xfId="0" applyFill="1"/>
    <xf numFmtId="0" fontId="0" fillId="5" borderId="0" xfId="0" applyNumberFormat="1" applyFill="1"/>
    <xf numFmtId="164" fontId="0" fillId="5" borderId="0" xfId="0" applyNumberFormat="1" applyFill="1"/>
    <xf numFmtId="1" fontId="0" fillId="5" borderId="0" xfId="0" applyNumberFormat="1" applyFill="1"/>
    <xf numFmtId="0" fontId="2" fillId="3" borderId="0" xfId="0" applyFont="1" applyFill="1"/>
    <xf numFmtId="0" fontId="0" fillId="6" borderId="0" xfId="0" applyFill="1"/>
    <xf numFmtId="0" fontId="2" fillId="6" borderId="0" xfId="0" applyFont="1" applyFill="1" applyBorder="1" applyAlignment="1">
      <alignment horizontal="left" vertical="top"/>
    </xf>
    <xf numFmtId="0" fontId="2" fillId="6" borderId="0" xfId="0" applyNumberFormat="1" applyFont="1" applyFill="1" applyBorder="1" applyAlignment="1">
      <alignment horizontal="left" vertical="top"/>
    </xf>
    <xf numFmtId="0" fontId="0" fillId="6" borderId="0" xfId="0" applyNumberFormat="1" applyFill="1"/>
    <xf numFmtId="164" fontId="0" fillId="6" borderId="0" xfId="0" applyNumberFormat="1" applyFill="1"/>
    <xf numFmtId="164" fontId="2" fillId="6" borderId="0" xfId="0" applyNumberFormat="1" applyFont="1" applyFill="1" applyBorder="1" applyAlignment="1">
      <alignment horizontal="left" vertical="top"/>
    </xf>
    <xf numFmtId="1" fontId="2" fillId="6" borderId="0" xfId="0" applyNumberFormat="1" applyFont="1" applyFill="1" applyBorder="1" applyAlignment="1">
      <alignment horizontal="left" vertical="top"/>
    </xf>
    <xf numFmtId="0" fontId="2" fillId="6" borderId="0" xfId="0" applyFont="1" applyFill="1"/>
    <xf numFmtId="1" fontId="0" fillId="6" borderId="0" xfId="0" applyNumberFormat="1" applyFill="1"/>
    <xf numFmtId="0" fontId="2" fillId="2" borderId="0" xfId="0" applyFont="1" applyFill="1"/>
    <xf numFmtId="0" fontId="2" fillId="5" borderId="0" xfId="0" applyFont="1" applyFill="1"/>
    <xf numFmtId="0" fontId="2" fillId="0" borderId="0" xfId="0" applyFont="1" applyFill="1" applyAlignment="1">
      <alignment vertical="top"/>
    </xf>
    <xf numFmtId="0" fontId="0" fillId="2" borderId="0" xfId="0" applyNumberFormat="1" applyFill="1" applyAlignment="1">
      <alignment vertical="top"/>
    </xf>
    <xf numFmtId="0" fontId="0" fillId="2" borderId="0" xfId="0" applyFill="1" applyAlignment="1">
      <alignment vertical="top"/>
    </xf>
    <xf numFmtId="1" fontId="0" fillId="2" borderId="0" xfId="0" applyNumberFormat="1" applyFill="1" applyAlignment="1">
      <alignment vertical="top"/>
    </xf>
    <xf numFmtId="1" fontId="5" fillId="2" borderId="0" xfId="0" applyNumberFormat="1" applyFont="1" applyFill="1" applyAlignment="1">
      <alignment vertical="top"/>
    </xf>
    <xf numFmtId="0" fontId="0" fillId="0" borderId="0" xfId="0" applyNumberFormat="1" applyFill="1" applyAlignment="1">
      <alignment vertical="top"/>
    </xf>
    <xf numFmtId="0" fontId="0" fillId="0" borderId="0" xfId="0" applyAlignment="1">
      <alignment vertical="top"/>
    </xf>
    <xf numFmtId="0" fontId="0" fillId="0" borderId="0" xfId="0" applyFill="1" applyAlignment="1">
      <alignment vertical="top"/>
    </xf>
    <xf numFmtId="1" fontId="0" fillId="0" borderId="0" xfId="0" applyNumberFormat="1" applyFill="1" applyAlignment="1">
      <alignment vertical="top"/>
    </xf>
    <xf numFmtId="1" fontId="5" fillId="0" borderId="0" xfId="0" applyNumberFormat="1" applyFont="1" applyFill="1" applyAlignment="1">
      <alignment vertical="top"/>
    </xf>
    <xf numFmtId="164" fontId="0" fillId="0" borderId="0" xfId="0" applyNumberFormat="1" applyFill="1" applyAlignment="1">
      <alignment vertical="top"/>
    </xf>
    <xf numFmtId="0" fontId="0" fillId="5" borderId="0" xfId="0" applyNumberFormat="1" applyFill="1" applyAlignment="1">
      <alignment vertical="top"/>
    </xf>
    <xf numFmtId="0" fontId="0" fillId="5" borderId="0" xfId="0" applyFill="1" applyAlignment="1">
      <alignment vertical="top"/>
    </xf>
    <xf numFmtId="1" fontId="0" fillId="5" borderId="0" xfId="0" applyNumberFormat="1" applyFill="1" applyAlignment="1">
      <alignment vertical="top"/>
    </xf>
    <xf numFmtId="1" fontId="5" fillId="5" borderId="0" xfId="0" applyNumberFormat="1" applyFont="1" applyFill="1" applyAlignment="1">
      <alignment vertical="top"/>
    </xf>
    <xf numFmtId="1" fontId="0" fillId="7" borderId="0" xfId="0" applyNumberFormat="1" applyFill="1" applyAlignment="1">
      <alignment vertical="top"/>
    </xf>
    <xf numFmtId="0" fontId="0" fillId="3" borderId="0" xfId="0" applyFill="1" applyAlignment="1">
      <alignment vertical="top"/>
    </xf>
    <xf numFmtId="0" fontId="0" fillId="3" borderId="0" xfId="0" applyNumberFormat="1" applyFill="1" applyAlignment="1">
      <alignment vertical="top"/>
    </xf>
    <xf numFmtId="1" fontId="0" fillId="3" borderId="0" xfId="0" applyNumberFormat="1" applyFill="1" applyAlignment="1">
      <alignment vertical="top"/>
    </xf>
    <xf numFmtId="1" fontId="5" fillId="3" borderId="0" xfId="0" applyNumberFormat="1" applyFont="1" applyFill="1" applyAlignment="1">
      <alignment vertical="top"/>
    </xf>
    <xf numFmtId="49" fontId="2" fillId="0" borderId="2" xfId="0" applyNumberFormat="1" applyFont="1" applyFill="1" applyBorder="1" applyAlignment="1">
      <alignment vertical="top"/>
    </xf>
    <xf numFmtId="49" fontId="0" fillId="2" borderId="0" xfId="0" applyNumberFormat="1" applyFill="1" applyAlignment="1">
      <alignment vertical="top"/>
    </xf>
    <xf numFmtId="49" fontId="0" fillId="0" borderId="0" xfId="0" applyNumberFormat="1" applyFill="1" applyAlignment="1">
      <alignment vertical="top"/>
    </xf>
    <xf numFmtId="49" fontId="0" fillId="5" borderId="0" xfId="0" applyNumberFormat="1" applyFill="1" applyAlignment="1">
      <alignment vertical="top"/>
    </xf>
    <xf numFmtId="49" fontId="0" fillId="3" borderId="0" xfId="0" applyNumberFormat="1" applyFill="1" applyAlignment="1">
      <alignment vertical="top"/>
    </xf>
    <xf numFmtId="1" fontId="0" fillId="7" borderId="0" xfId="0" applyNumberFormat="1" applyFill="1"/>
    <xf numFmtId="164" fontId="0" fillId="7" borderId="0" xfId="0" applyNumberFormat="1" applyFill="1"/>
    <xf numFmtId="0" fontId="2" fillId="0" borderId="2" xfId="0" applyFont="1" applyBorder="1" applyAlignment="1">
      <alignment horizontal="left" vertical="top"/>
    </xf>
    <xf numFmtId="0" fontId="0" fillId="0" borderId="0" xfId="0" applyAlignment="1">
      <alignment horizontal="left"/>
    </xf>
    <xf numFmtId="0" fontId="0" fillId="2" borderId="0" xfId="0" applyFill="1" applyAlignment="1">
      <alignment horizontal="left"/>
    </xf>
    <xf numFmtId="0" fontId="0" fillId="5" borderId="0" xfId="0" applyFill="1" applyAlignment="1">
      <alignment horizontal="left"/>
    </xf>
    <xf numFmtId="0" fontId="0" fillId="0" borderId="0" xfId="0" applyFill="1" applyAlignment="1">
      <alignment horizontal="left"/>
    </xf>
    <xf numFmtId="0" fontId="0" fillId="3" borderId="0" xfId="0" applyFill="1" applyAlignment="1">
      <alignment horizontal="left"/>
    </xf>
    <xf numFmtId="0" fontId="0" fillId="0" borderId="0" xfId="0" applyFill="1" applyAlignment="1">
      <alignment horizontal="left" vertical="top"/>
    </xf>
    <xf numFmtId="0" fontId="0" fillId="0" borderId="0" xfId="0" applyAlignment="1">
      <alignment horizontal="left" vertical="top"/>
    </xf>
    <xf numFmtId="0" fontId="0" fillId="2" borderId="0" xfId="0" applyFill="1" applyAlignment="1">
      <alignment horizontal="left" vertical="top"/>
    </xf>
    <xf numFmtId="0" fontId="0" fillId="3" borderId="0" xfId="0" applyFill="1" applyAlignment="1">
      <alignment horizontal="left" vertical="top"/>
    </xf>
    <xf numFmtId="0" fontId="0" fillId="5" borderId="0" xfId="0" applyFill="1" applyAlignment="1">
      <alignment horizontal="left" vertical="top"/>
    </xf>
  </cellXfs>
  <cellStyles count="1">
    <cellStyle name="Normal" xfId="0" builtinId="0"/>
  </cellStyles>
  <dxfs count="541">
    <dxf>
      <numFmt numFmtId="30" formatCode="@"/>
      <fill>
        <patternFill patternType="none">
          <fgColor indexed="64"/>
          <bgColor indexed="65"/>
        </patternFill>
      </fill>
      <alignment horizontal="general" vertical="top" textRotation="0" wrapText="0" indent="0" justifyLastLine="0" shrinkToFit="0" readingOrder="0"/>
    </dxf>
    <dxf>
      <numFmt numFmtId="30" formatCode="@"/>
      <fill>
        <patternFill patternType="none">
          <fgColor rgb="FF000000"/>
          <bgColor auto="1"/>
        </patternFill>
      </fill>
      <alignment horizontal="general" vertical="top" textRotation="0" wrapText="0"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1" formatCode="0"/>
      <fill>
        <patternFill patternType="none">
          <fgColor rgb="FF000000"/>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theme="1"/>
        <name val="Calibri"/>
        <family val="2"/>
        <charset val="204"/>
        <scheme val="minor"/>
      </font>
      <numFmt numFmtId="1" formatCode="0"/>
      <fill>
        <patternFill patternType="none">
          <fgColor indexed="64"/>
          <bgColor indexed="65"/>
        </patternFill>
      </fill>
      <alignment horizontal="general" vertical="top" textRotation="0" wrapText="0" indent="0" justifyLastLine="0" shrinkToFit="0" readingOrder="0"/>
    </dxf>
    <dxf>
      <font>
        <b/>
        <charset val="204"/>
      </font>
      <numFmt numFmtId="1" formatCode="0"/>
      <fill>
        <patternFill patternType="none">
          <fgColor rgb="FF000000"/>
          <bgColor auto="1"/>
        </patternFill>
      </fill>
      <alignment horizontal="general" vertical="top" textRotation="0" indent="0" justifyLastLine="0" shrinkToFit="0" readingOrder="0"/>
    </dxf>
    <dxf>
      <numFmt numFmtId="1" formatCode="0"/>
      <fill>
        <patternFill patternType="none">
          <fgColor indexed="64"/>
          <bgColor indexed="65"/>
        </patternFill>
      </fill>
      <alignment horizontal="general" vertical="top" textRotation="0" wrapText="0" indent="0" justifyLastLine="0" shrinkToFit="0" readingOrder="0"/>
    </dxf>
    <dxf>
      <numFmt numFmtId="1" formatCode="0"/>
      <fill>
        <patternFill patternType="none">
          <fgColor rgb="FF000000"/>
          <bgColor auto="1"/>
        </patternFill>
      </fill>
      <alignment horizontal="general" vertical="top" textRotation="0" indent="0" justifyLastLine="0" shrinkToFit="0" readingOrder="0"/>
    </dxf>
    <dxf>
      <numFmt numFmtId="1" formatCode="0"/>
      <fill>
        <patternFill patternType="none">
          <fgColor indexed="64"/>
          <bgColor indexed="65"/>
        </patternFill>
      </fill>
      <alignment horizontal="general" vertical="top" textRotation="0" wrapText="0" indent="0" justifyLastLine="0" shrinkToFit="0" readingOrder="0"/>
    </dxf>
    <dxf>
      <numFmt numFmtId="1" formatCode="0"/>
      <fill>
        <patternFill patternType="none">
          <fgColor rgb="FF000000"/>
          <bgColor auto="1"/>
        </patternFill>
      </fill>
      <alignment horizontal="general" vertical="top" textRotation="0" indent="0" justifyLastLine="0" shrinkToFit="0" readingOrder="0"/>
    </dxf>
    <dxf>
      <numFmt numFmtId="1" formatCode="0"/>
      <fill>
        <patternFill patternType="none">
          <fgColor indexed="64"/>
          <bgColor indexed="65"/>
        </patternFill>
      </fill>
      <alignment horizontal="general" vertical="top" textRotation="0" wrapText="0" indent="0" justifyLastLine="0" shrinkToFit="0" readingOrder="0"/>
    </dxf>
    <dxf>
      <numFmt numFmtId="1" formatCode="0"/>
      <fill>
        <patternFill patternType="none">
          <fgColor rgb="FF000000"/>
          <bgColor auto="1"/>
        </patternFill>
      </fill>
      <alignment horizontal="general" vertical="top" textRotation="0" indent="0" justifyLastLine="0" shrinkToFit="0" readingOrder="0"/>
    </dxf>
    <dxf>
      <numFmt numFmtId="1" formatCode="0"/>
      <fill>
        <patternFill patternType="none">
          <fgColor indexed="64"/>
          <bgColor indexed="65"/>
        </patternFill>
      </fill>
      <alignment horizontal="general" vertical="top" textRotation="0" wrapText="0" indent="0" justifyLastLine="0" shrinkToFit="0" readingOrder="0"/>
    </dxf>
    <dxf>
      <numFmt numFmtId="1" formatCode="0"/>
      <fill>
        <patternFill patternType="none">
          <fgColor indexed="64"/>
          <bgColor auto="1"/>
        </patternFill>
      </fill>
      <alignment horizontal="general" vertical="top" textRotation="0"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0" formatCode="General"/>
      <fill>
        <patternFill patternType="none">
          <fgColor indexed="64"/>
          <bgColor indexed="65"/>
        </patternFill>
      </fill>
      <alignment horizontal="general" vertical="top" textRotation="0" indent="0" justifyLastLine="0" shrinkToFit="0" readingOrder="0"/>
    </dxf>
    <dxf>
      <fill>
        <patternFill patternType="none">
          <fgColor indexed="64"/>
          <bgColor indexed="65"/>
        </patternFill>
      </fill>
      <alignment horizontal="general" vertical="top" textRotation="0" wrapText="0" indent="0" justifyLastLine="0" shrinkToFit="0" readingOrder="0"/>
    </dxf>
    <dxf>
      <alignment horizontal="left" vertical="top" textRotation="0" wrapText="0"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0" formatCode="General"/>
      <fill>
        <patternFill patternType="none">
          <fgColor indexed="64"/>
          <bgColor indexed="65"/>
        </patternFill>
      </fill>
      <alignment horizontal="general" vertical="top" textRotation="0"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0" formatCode="General"/>
      <fill>
        <patternFill patternType="none">
          <fgColor indexed="64"/>
          <bgColor indexed="65"/>
        </patternFill>
      </fill>
      <alignment horizontal="general" vertical="top" textRotation="0"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0" formatCode="General"/>
      <fill>
        <patternFill patternType="none">
          <fgColor indexed="64"/>
          <bgColor auto="1"/>
        </patternFill>
      </fill>
      <alignment horizontal="general" vertical="top" textRotation="0"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0" formatCode="General"/>
      <fill>
        <patternFill patternType="none">
          <fgColor indexed="64"/>
          <bgColor auto="1"/>
        </patternFill>
      </fill>
      <alignment horizontal="general" vertical="top" textRotation="0" indent="0" justifyLastLine="0" shrinkToFit="0" readingOrder="0"/>
    </dxf>
    <dxf>
      <fill>
        <patternFill patternType="none">
          <fgColor rgb="FF000000"/>
          <bgColor auto="1"/>
        </patternFill>
      </fill>
      <alignment horizontal="general" vertical="top" textRotation="0" indent="0" justifyLastLine="0" shrinkToFit="0" readingOrder="0"/>
    </dxf>
    <dxf>
      <fill>
        <patternFill patternType="none">
          <fgColor rgb="FF000000"/>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charset val="204"/>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bottom/>
      </border>
    </dxf>
    <dxf>
      <numFmt numFmtId="1" formatCode="0"/>
      <fill>
        <patternFill patternType="none">
          <fgColor indexed="64"/>
          <bgColor indexed="65"/>
        </patternFill>
      </fill>
    </dxf>
    <dxf>
      <numFmt numFmtId="1" formatCode="0"/>
      <fill>
        <patternFill patternType="none">
          <fgColor indexed="64"/>
          <bgColor auto="1"/>
        </patternFill>
      </fill>
    </dxf>
    <dxf>
      <numFmt numFmtId="1" formatCode="0"/>
      <fill>
        <patternFill patternType="none">
          <fgColor indexed="64"/>
          <bgColor indexed="65"/>
        </patternFill>
      </fill>
    </dxf>
    <dxf>
      <numFmt numFmtId="1" formatCode="0"/>
      <fill>
        <patternFill patternType="none">
          <fgColor indexed="64"/>
          <bgColor auto="1"/>
        </patternFill>
      </fill>
    </dxf>
    <dxf>
      <numFmt numFmtId="1" formatCode="0"/>
      <fill>
        <patternFill patternType="none">
          <fgColor indexed="64"/>
          <bgColor indexed="65"/>
        </patternFill>
      </fill>
    </dxf>
    <dxf>
      <numFmt numFmtId="1" formatCode="0"/>
      <fill>
        <patternFill patternType="none">
          <fgColor indexed="64"/>
          <bgColor auto="1"/>
        </patternFill>
      </fill>
    </dxf>
    <dxf>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solid">
          <fgColor indexed="64"/>
          <bgColor rgb="FFCCFFCC"/>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solid">
          <fgColor indexed="64"/>
          <bgColor rgb="FFDDDDDD"/>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charset val="204"/>
        <scheme val="minor"/>
      </font>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rgb="FF000000"/>
          <bgColor auto="1"/>
        </patternFill>
      </fill>
    </dxf>
    <dxf>
      <fill>
        <patternFill patternType="none">
          <fgColor rgb="FF000000"/>
          <bgColor auto="1"/>
        </patternFill>
      </fill>
    </dxf>
    <dxf>
      <fill>
        <patternFill patternType="none">
          <fgColor indexed="64"/>
          <bgColor auto="1"/>
        </patternFill>
      </fill>
    </dxf>
    <dxf>
      <numFmt numFmtId="1" formatCode="0"/>
      <fill>
        <patternFill patternType="solid">
          <fgColor indexed="64"/>
          <bgColor rgb="FFFFFF00"/>
        </patternFill>
      </fill>
    </dxf>
    <dxf>
      <numFmt numFmtId="1" formatCode="0"/>
      <fill>
        <patternFill patternType="none">
          <fgColor indexed="64"/>
          <bgColor auto="1"/>
        </patternFill>
      </fill>
    </dxf>
    <dxf>
      <numFmt numFmtId="1" formatCode="0"/>
      <fill>
        <patternFill patternType="solid">
          <fgColor indexed="64"/>
          <bgColor rgb="FFFFFF00"/>
        </patternFill>
      </fill>
    </dxf>
    <dxf>
      <numFmt numFmtId="1" formatCode="0"/>
      <fill>
        <patternFill patternType="none">
          <fgColor indexed="64"/>
          <bgColor auto="1"/>
        </patternFill>
      </fill>
    </dxf>
    <dxf>
      <numFmt numFmtId="1" formatCode="0"/>
      <fill>
        <patternFill patternType="solid">
          <fgColor indexed="64"/>
          <bgColor rgb="FFFFFF00"/>
        </patternFill>
      </fill>
    </dxf>
    <dxf>
      <numFmt numFmtId="1" formatCode="0"/>
      <fill>
        <patternFill patternType="none">
          <fgColor indexed="64"/>
          <bgColor auto="1"/>
        </patternFill>
      </fill>
    </dxf>
    <dxf>
      <fill>
        <patternFill patternType="none">
          <fgColor indexed="64"/>
          <bgColor indexed="65"/>
        </patternFill>
      </fill>
    </dxf>
    <dxf>
      <numFmt numFmtId="0" formatCode="General"/>
      <fill>
        <patternFill patternType="none">
          <fgColor indexed="64"/>
          <bgColor indexed="65"/>
        </patternFill>
      </fill>
    </dxf>
    <dxf>
      <numFmt numFmtId="0" formatCode="General"/>
      <alignment horizontal="left" vertical="bottom" textRotation="0" wrapText="0" indent="0" justifyLastLine="0" shrinkToFit="0" readingOrder="0"/>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indexed="65"/>
        </patternFill>
      </fill>
    </dxf>
    <dxf>
      <numFmt numFmtId="1" formatCode="0"/>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solid">
          <fgColor indexed="64"/>
          <bgColor rgb="FFDDDDDD"/>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charset val="204"/>
        <scheme val="minor"/>
      </font>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1" formatCode="0"/>
      <fill>
        <patternFill patternType="solid">
          <fgColor indexed="64"/>
          <bgColor rgb="FFFFFF00"/>
        </patternFill>
      </fill>
    </dxf>
    <dxf>
      <numFmt numFmtId="1" formatCode="0"/>
      <fill>
        <patternFill patternType="none">
          <fgColor indexed="64"/>
          <bgColor auto="1"/>
        </patternFill>
      </fill>
    </dxf>
    <dxf>
      <numFmt numFmtId="1" formatCode="0"/>
      <fill>
        <patternFill patternType="solid">
          <fgColor indexed="64"/>
          <bgColor rgb="FFFFFF00"/>
        </patternFill>
      </fill>
    </dxf>
    <dxf>
      <numFmt numFmtId="1" formatCode="0"/>
      <fill>
        <patternFill patternType="none">
          <fgColor indexed="64"/>
          <bgColor auto="1"/>
        </patternFill>
      </fill>
    </dxf>
    <dxf>
      <numFmt numFmtId="1" formatCode="0"/>
      <fill>
        <patternFill patternType="solid">
          <fgColor indexed="64"/>
          <bgColor rgb="FFFFFF00"/>
        </patternFill>
      </fill>
    </dxf>
    <dxf>
      <numFmt numFmtId="1" formatCode="0"/>
      <fill>
        <patternFill patternType="none">
          <fgColor indexed="64"/>
          <bgColor auto="1"/>
        </patternFill>
      </fill>
    </dxf>
    <dxf>
      <fill>
        <patternFill patternType="none">
          <fgColor indexed="64"/>
          <bgColor indexed="65"/>
        </patternFill>
      </fill>
    </dxf>
    <dxf>
      <numFmt numFmtId="0" formatCode="General"/>
      <fill>
        <patternFill patternType="none">
          <fgColor indexed="64"/>
          <bgColor indexed="65"/>
        </patternFill>
      </fill>
    </dxf>
    <dxf>
      <numFmt numFmtId="0" formatCode="General"/>
      <alignment horizontal="left" vertical="bottom" textRotation="0" wrapText="0" indent="0" justifyLastLine="0" shrinkToFit="0" readingOrder="0"/>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solid">
          <fgColor indexed="64"/>
          <bgColor rgb="FFDDDDDD"/>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charset val="204"/>
        <scheme val="minor"/>
      </font>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1" formatCode="0"/>
      <fill>
        <patternFill patternType="solid">
          <fgColor indexed="64"/>
          <bgColor rgb="FFFFFF00"/>
        </patternFill>
      </fill>
    </dxf>
    <dxf>
      <numFmt numFmtId="1" formatCode="0"/>
      <fill>
        <patternFill patternType="none">
          <fgColor indexed="64"/>
          <bgColor auto="1"/>
        </patternFill>
      </fill>
    </dxf>
    <dxf>
      <numFmt numFmtId="1" formatCode="0"/>
      <fill>
        <patternFill patternType="solid">
          <fgColor indexed="64"/>
          <bgColor rgb="FFFFFF00"/>
        </patternFill>
      </fill>
    </dxf>
    <dxf>
      <numFmt numFmtId="1" formatCode="0"/>
      <fill>
        <patternFill patternType="none">
          <fgColor indexed="64"/>
          <bgColor auto="1"/>
        </patternFill>
      </fill>
    </dxf>
    <dxf>
      <numFmt numFmtId="1" formatCode="0"/>
      <fill>
        <patternFill patternType="solid">
          <fgColor indexed="64"/>
          <bgColor rgb="FFFFFF00"/>
        </patternFill>
      </fill>
    </dxf>
    <dxf>
      <numFmt numFmtId="1" formatCode="0"/>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numFmt numFmtId="0" formatCode="General"/>
      <alignment horizontal="left" vertical="bottom" textRotation="0" wrapText="0" indent="0" justifyLastLine="0" shrinkToFit="0" readingOrder="0"/>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solid">
          <fgColor indexed="64"/>
          <bgColor rgb="FFDDDDDD"/>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charset val="204"/>
        <scheme val="minor"/>
      </font>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1" formatCode="0"/>
      <fill>
        <patternFill patternType="solid">
          <fgColor indexed="64"/>
          <bgColor rgb="FFFFFF00"/>
        </patternFill>
      </fill>
    </dxf>
    <dxf>
      <numFmt numFmtId="1" formatCode="0"/>
      <fill>
        <patternFill patternType="none">
          <fgColor indexed="64"/>
          <bgColor auto="1"/>
        </patternFill>
      </fill>
    </dxf>
    <dxf>
      <numFmt numFmtId="1" formatCode="0"/>
      <fill>
        <patternFill patternType="solid">
          <fgColor indexed="64"/>
          <bgColor rgb="FFFFFF00"/>
        </patternFill>
      </fill>
    </dxf>
    <dxf>
      <numFmt numFmtId="1" formatCode="0"/>
      <fill>
        <patternFill patternType="none">
          <fgColor indexed="64"/>
          <bgColor auto="1"/>
        </patternFill>
      </fill>
    </dxf>
    <dxf>
      <numFmt numFmtId="1" formatCode="0"/>
      <fill>
        <patternFill patternType="solid">
          <fgColor indexed="64"/>
          <bgColor rgb="FFFFFF00"/>
        </patternFill>
      </fill>
    </dxf>
    <dxf>
      <numFmt numFmtId="1" formatCode="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solid">
          <fgColor indexed="64"/>
          <bgColor rgb="FFDDDDDD"/>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auto="1"/>
        </left>
        <right style="thin">
          <color auto="1"/>
        </right>
        <top/>
        <bottom/>
      </border>
    </dxf>
  </dxfs>
  <tableStyles count="0" defaultPivotStyle="PivotStyleLight16"/>
  <colors>
    <mruColors>
      <color rgb="FFFFFFFF"/>
      <color rgb="FF777777"/>
      <color rgb="FFFFFF00"/>
      <color rgb="FFFFCCCC"/>
      <color rgb="FFCCECFF"/>
      <color rgb="FFFFCCFF"/>
      <color rgb="FFFF0000"/>
      <color rgb="FFFF00FF"/>
      <color rgb="FFFF99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microsoft.com/office/2007/relationships/slicerCache" Target="slicerCaches/slicerCache7.xml"/><Relationship Id="rId18"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1.xml"/><Relationship Id="rId12" Type="http://schemas.microsoft.com/office/2007/relationships/slicerCache" Target="slicerCaches/slicerCache6.xml"/><Relationship Id="rId17"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5.xml"/><Relationship Id="rId5" Type="http://schemas.openxmlformats.org/officeDocument/2006/relationships/worksheet" Target="worksheets/sheet5.xml"/><Relationship Id="rId15" Type="http://schemas.microsoft.com/office/2007/relationships/slicerCache" Target="slicerCaches/slicerCache9.xml"/><Relationship Id="rId10" Type="http://schemas.microsoft.com/office/2007/relationships/slicerCache" Target="slicerCaches/slicerCache4.xml"/><Relationship Id="rId19" Type="http://schemas.openxmlformats.org/officeDocument/2006/relationships/sharedStrings" Target="sharedStrings.xml"/><Relationship Id="rId4" Type="http://schemas.openxmlformats.org/officeDocument/2006/relationships/worksheet" Target="worksheets/sheet4.xml"/><Relationship Id="rId9" Type="http://schemas.microsoft.com/office/2007/relationships/slicerCache" Target="slicerCaches/slicerCache3.xml"/><Relationship Id="rId14" Type="http://schemas.microsoft.com/office/2007/relationships/slicerCache" Target="slicerCaches/slicerCache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30233500629379E-2"/>
          <c:y val="2.9282931336713936E-2"/>
          <c:w val="0.95261901191169107"/>
          <c:h val="0.92797105263157886"/>
        </c:manualLayout>
      </c:layout>
      <c:bubbleChart>
        <c:varyColors val="0"/>
        <c:ser>
          <c:idx val="8"/>
          <c:order val="0"/>
          <c:tx>
            <c:strRef>
              <c:f>'Дума партии'!$AB$1</c:f>
              <c:strCache>
                <c:ptCount val="1"/>
                <c:pt idx="0">
                  <c:v>КПРФ</c:v>
                </c:pt>
              </c:strCache>
            </c:strRef>
          </c:tx>
          <c:spPr>
            <a:solidFill>
              <a:srgbClr val="FF0000">
                <a:alpha val="50000"/>
              </a:srgbClr>
            </a:solidFill>
            <a:ln w="25400">
              <a:noFill/>
            </a:ln>
          </c:spPr>
          <c:invertIfNegative val="0"/>
          <c:xVal>
            <c:numRef>
              <c:f>'Дума партии'!$O$2:$O$184</c:f>
              <c:numCache>
                <c:formatCode>0.0</c:formatCode>
                <c:ptCount val="182"/>
                <c:pt idx="0">
                  <c:v>65.769073847409217</c:v>
                </c:pt>
                <c:pt idx="1">
                  <c:v>54.693648116919618</c:v>
                </c:pt>
                <c:pt idx="2">
                  <c:v>56.333676622039135</c:v>
                </c:pt>
                <c:pt idx="3">
                  <c:v>56.919431279620852</c:v>
                </c:pt>
                <c:pt idx="4">
                  <c:v>49.812130971551262</c:v>
                </c:pt>
                <c:pt idx="5">
                  <c:v>52.610030706243606</c:v>
                </c:pt>
                <c:pt idx="6">
                  <c:v>62.290927521540802</c:v>
                </c:pt>
                <c:pt idx="7">
                  <c:v>71.452328159645234</c:v>
                </c:pt>
                <c:pt idx="8">
                  <c:v>73.707753479125245</c:v>
                </c:pt>
                <c:pt idx="9">
                  <c:v>38.504037399065027</c:v>
                </c:pt>
                <c:pt idx="10">
                  <c:v>26.023778071334213</c:v>
                </c:pt>
                <c:pt idx="11">
                  <c:v>73.80952380952381</c:v>
                </c:pt>
                <c:pt idx="12">
                  <c:v>52.41128298453139</c:v>
                </c:pt>
                <c:pt idx="13">
                  <c:v>35.041666666666664</c:v>
                </c:pt>
                <c:pt idx="14">
                  <c:v>48.479868529170091</c:v>
                </c:pt>
                <c:pt idx="15">
                  <c:v>30.726256983240223</c:v>
                </c:pt>
                <c:pt idx="16">
                  <c:v>49.526066350710899</c:v>
                </c:pt>
                <c:pt idx="17">
                  <c:v>34.267413931144915</c:v>
                </c:pt>
                <c:pt idx="18">
                  <c:v>48.776223776223773</c:v>
                </c:pt>
                <c:pt idx="19">
                  <c:v>36.920222634508349</c:v>
                </c:pt>
                <c:pt idx="20">
                  <c:v>26.006528835690968</c:v>
                </c:pt>
                <c:pt idx="21">
                  <c:v>47.85954785954786</c:v>
                </c:pt>
                <c:pt idx="22">
                  <c:v>33.182844243792324</c:v>
                </c:pt>
                <c:pt idx="23">
                  <c:v>38.321342925659472</c:v>
                </c:pt>
                <c:pt idx="24">
                  <c:v>32.349052446011456</c:v>
                </c:pt>
                <c:pt idx="25">
                  <c:v>38.541666666666664</c:v>
                </c:pt>
                <c:pt idx="26">
                  <c:v>54.414682539682538</c:v>
                </c:pt>
                <c:pt idx="27">
                  <c:v>44.678111587982833</c:v>
                </c:pt>
                <c:pt idx="28">
                  <c:v>48.960216998191683</c:v>
                </c:pt>
                <c:pt idx="29">
                  <c:v>36.23435722411832</c:v>
                </c:pt>
                <c:pt idx="30">
                  <c:v>41.570026761819804</c:v>
                </c:pt>
                <c:pt idx="31">
                  <c:v>30.401785714285715</c:v>
                </c:pt>
                <c:pt idx="32">
                  <c:v>40.432098765432102</c:v>
                </c:pt>
                <c:pt idx="33">
                  <c:v>95.27145359019265</c:v>
                </c:pt>
                <c:pt idx="34">
                  <c:v>43.419689119170982</c:v>
                </c:pt>
                <c:pt idx="35">
                  <c:v>61.180952380952384</c:v>
                </c:pt>
                <c:pt idx="36">
                  <c:v>82.278481012658233</c:v>
                </c:pt>
                <c:pt idx="37">
                  <c:v>37.891440501043839</c:v>
                </c:pt>
                <c:pt idx="38">
                  <c:v>40.373395565927652</c:v>
                </c:pt>
                <c:pt idx="39">
                  <c:v>40.014164305949009</c:v>
                </c:pt>
                <c:pt idx="40">
                  <c:v>35.019646365422396</c:v>
                </c:pt>
                <c:pt idx="41">
                  <c:v>32.91592128801431</c:v>
                </c:pt>
                <c:pt idx="42">
                  <c:v>34.583952451708768</c:v>
                </c:pt>
                <c:pt idx="43">
                  <c:v>34.065460809646858</c:v>
                </c:pt>
                <c:pt idx="44">
                  <c:v>66.542133665421332</c:v>
                </c:pt>
                <c:pt idx="45">
                  <c:v>82.972136222910223</c:v>
                </c:pt>
                <c:pt idx="46">
                  <c:v>64.759725400457668</c:v>
                </c:pt>
                <c:pt idx="47">
                  <c:v>40.809968847352025</c:v>
                </c:pt>
                <c:pt idx="48">
                  <c:v>45.801033591731269</c:v>
                </c:pt>
                <c:pt idx="49">
                  <c:v>54.984354045596781</c:v>
                </c:pt>
                <c:pt idx="50">
                  <c:v>40.988835725677831</c:v>
                </c:pt>
                <c:pt idx="51">
                  <c:v>37.672465506898618</c:v>
                </c:pt>
                <c:pt idx="52">
                  <c:v>42.771804062126641</c:v>
                </c:pt>
                <c:pt idx="53">
                  <c:v>78.285714285714292</c:v>
                </c:pt>
                <c:pt idx="54">
                  <c:v>35.802469135802468</c:v>
                </c:pt>
                <c:pt idx="55">
                  <c:v>34.591626630061768</c:v>
                </c:pt>
                <c:pt idx="56">
                  <c:v>43.99198931909212</c:v>
                </c:pt>
                <c:pt idx="57">
                  <c:v>35.998498498498499</c:v>
                </c:pt>
                <c:pt idx="58">
                  <c:v>28.264758497316638</c:v>
                </c:pt>
                <c:pt idx="59">
                  <c:v>41.413753361505954</c:v>
                </c:pt>
                <c:pt idx="60">
                  <c:v>38.279830405814657</c:v>
                </c:pt>
                <c:pt idx="61">
                  <c:v>44.122298365840798</c:v>
                </c:pt>
                <c:pt idx="62">
                  <c:v>28.415841584158414</c:v>
                </c:pt>
                <c:pt idx="63">
                  <c:v>28.213166144200628</c:v>
                </c:pt>
                <c:pt idx="64">
                  <c:v>31.632653061224488</c:v>
                </c:pt>
                <c:pt idx="65">
                  <c:v>57.634902411021812</c:v>
                </c:pt>
                <c:pt idx="66">
                  <c:v>65.963431786216603</c:v>
                </c:pt>
                <c:pt idx="67">
                  <c:v>59.171597633136095</c:v>
                </c:pt>
                <c:pt idx="68">
                  <c:v>46.972972972972975</c:v>
                </c:pt>
                <c:pt idx="69">
                  <c:v>52.910330361824855</c:v>
                </c:pt>
                <c:pt idx="70">
                  <c:v>36.995153473344104</c:v>
                </c:pt>
                <c:pt idx="71">
                  <c:v>41.978609625668447</c:v>
                </c:pt>
                <c:pt idx="72">
                  <c:v>40.463576158940398</c:v>
                </c:pt>
                <c:pt idx="73">
                  <c:v>22.40990990990991</c:v>
                </c:pt>
                <c:pt idx="74">
                  <c:v>35.343511450381676</c:v>
                </c:pt>
                <c:pt idx="75">
                  <c:v>51.278195488721806</c:v>
                </c:pt>
                <c:pt idx="76">
                  <c:v>55.201177625122668</c:v>
                </c:pt>
                <c:pt idx="77">
                  <c:v>57.815126050420169</c:v>
                </c:pt>
                <c:pt idx="78">
                  <c:v>51.873767258382642</c:v>
                </c:pt>
                <c:pt idx="79">
                  <c:v>42.535211267605632</c:v>
                </c:pt>
                <c:pt idx="80">
                  <c:v>51.540983606557376</c:v>
                </c:pt>
                <c:pt idx="81">
                  <c:v>40.625</c:v>
                </c:pt>
                <c:pt idx="82">
                  <c:v>47.904811174340402</c:v>
                </c:pt>
                <c:pt idx="83">
                  <c:v>44.525904203323556</c:v>
                </c:pt>
                <c:pt idx="84">
                  <c:v>40.621336459554513</c:v>
                </c:pt>
                <c:pt idx="85">
                  <c:v>40.938416422287389</c:v>
                </c:pt>
                <c:pt idx="86">
                  <c:v>46.500981033355131</c:v>
                </c:pt>
                <c:pt idx="87">
                  <c:v>35.444444444444443</c:v>
                </c:pt>
                <c:pt idx="88">
                  <c:v>38.161993769470406</c:v>
                </c:pt>
                <c:pt idx="89">
                  <c:v>43.880142204164549</c:v>
                </c:pt>
                <c:pt idx="90">
                  <c:v>49.60753532182104</c:v>
                </c:pt>
                <c:pt idx="91">
                  <c:v>51.973284760170003</c:v>
                </c:pt>
                <c:pt idx="92">
                  <c:v>56.155015197568389</c:v>
                </c:pt>
                <c:pt idx="93">
                  <c:v>63.973344439816742</c:v>
                </c:pt>
                <c:pt idx="94">
                  <c:v>66.090611863615138</c:v>
                </c:pt>
                <c:pt idx="95">
                  <c:v>65.528455284552848</c:v>
                </c:pt>
                <c:pt idx="96">
                  <c:v>59.78142076502732</c:v>
                </c:pt>
                <c:pt idx="97">
                  <c:v>47.716799329702553</c:v>
                </c:pt>
                <c:pt idx="98">
                  <c:v>53.094462540716613</c:v>
                </c:pt>
                <c:pt idx="99">
                  <c:v>31.606805293005671</c:v>
                </c:pt>
                <c:pt idx="100">
                  <c:v>36.172295643661279</c:v>
                </c:pt>
                <c:pt idx="101">
                  <c:v>57.703081232492998</c:v>
                </c:pt>
                <c:pt idx="102">
                  <c:v>57.186234817813762</c:v>
                </c:pt>
                <c:pt idx="103">
                  <c:v>100</c:v>
                </c:pt>
                <c:pt idx="104">
                  <c:v>90.865384615384613</c:v>
                </c:pt>
                <c:pt idx="105">
                  <c:v>45.725760183591511</c:v>
                </c:pt>
                <c:pt idx="106">
                  <c:v>38.141592920353979</c:v>
                </c:pt>
                <c:pt idx="107">
                  <c:v>35.991379310344826</c:v>
                </c:pt>
                <c:pt idx="108">
                  <c:v>40.813135261923378</c:v>
                </c:pt>
                <c:pt idx="109">
                  <c:v>37.786561264822133</c:v>
                </c:pt>
                <c:pt idx="110">
                  <c:v>42.659279778393355</c:v>
                </c:pt>
                <c:pt idx="111">
                  <c:v>39.198131568703779</c:v>
                </c:pt>
                <c:pt idx="112">
                  <c:v>39.279869067103107</c:v>
                </c:pt>
                <c:pt idx="113">
                  <c:v>42.108890420399725</c:v>
                </c:pt>
                <c:pt idx="114">
                  <c:v>37.489609310058185</c:v>
                </c:pt>
                <c:pt idx="115">
                  <c:v>35.413899955732624</c:v>
                </c:pt>
                <c:pt idx="116">
                  <c:v>48.197955890263586</c:v>
                </c:pt>
                <c:pt idx="117">
                  <c:v>36.372360844529751</c:v>
                </c:pt>
                <c:pt idx="118">
                  <c:v>0</c:v>
                </c:pt>
                <c:pt idx="119">
                  <c:v>41.97530864197531</c:v>
                </c:pt>
                <c:pt idx="120">
                  <c:v>32.253711201079625</c:v>
                </c:pt>
                <c:pt idx="121">
                  <c:v>51.320918146383718</c:v>
                </c:pt>
                <c:pt idx="122">
                  <c:v>33.550325488232346</c:v>
                </c:pt>
                <c:pt idx="123">
                  <c:v>35.837864557587743</c:v>
                </c:pt>
                <c:pt idx="124">
                  <c:v>43.203883495145632</c:v>
                </c:pt>
                <c:pt idx="125">
                  <c:v>40.560640732265448</c:v>
                </c:pt>
                <c:pt idx="126">
                  <c:v>36.066288704753596</c:v>
                </c:pt>
                <c:pt idx="127">
                  <c:v>34.057301293900181</c:v>
                </c:pt>
                <c:pt idx="128">
                  <c:v>36.285858077503775</c:v>
                </c:pt>
                <c:pt idx="129">
                  <c:v>42.036753445635526</c:v>
                </c:pt>
                <c:pt idx="130">
                  <c:v>70.199587061252586</c:v>
                </c:pt>
                <c:pt idx="131">
                  <c:v>31.971465629053178</c:v>
                </c:pt>
                <c:pt idx="132">
                  <c:v>35.394021739130437</c:v>
                </c:pt>
                <c:pt idx="133">
                  <c:v>35.140700068634182</c:v>
                </c:pt>
                <c:pt idx="134">
                  <c:v>29.351351351351351</c:v>
                </c:pt>
                <c:pt idx="135">
                  <c:v>42.471590909090907</c:v>
                </c:pt>
                <c:pt idx="136">
                  <c:v>55.265700483091784</c:v>
                </c:pt>
                <c:pt idx="137">
                  <c:v>51.10526315789474</c:v>
                </c:pt>
                <c:pt idx="138">
                  <c:v>36.855895196506552</c:v>
                </c:pt>
                <c:pt idx="139">
                  <c:v>34.820209376422397</c:v>
                </c:pt>
                <c:pt idx="140">
                  <c:v>69.944444444444443</c:v>
                </c:pt>
                <c:pt idx="141">
                  <c:v>33.010156971375807</c:v>
                </c:pt>
                <c:pt idx="142">
                  <c:v>40.26290165530672</c:v>
                </c:pt>
                <c:pt idx="143">
                  <c:v>38.359412043622569</c:v>
                </c:pt>
                <c:pt idx="144">
                  <c:v>30.732484076433121</c:v>
                </c:pt>
                <c:pt idx="145">
                  <c:v>37.028301886792455</c:v>
                </c:pt>
                <c:pt idx="146">
                  <c:v>35.288367546432063</c:v>
                </c:pt>
                <c:pt idx="147">
                  <c:v>34.275248560962844</c:v>
                </c:pt>
                <c:pt idx="148">
                  <c:v>38.125802310654684</c:v>
                </c:pt>
                <c:pt idx="149">
                  <c:v>40.745732255166217</c:v>
                </c:pt>
                <c:pt idx="150">
                  <c:v>27.971233913701742</c:v>
                </c:pt>
                <c:pt idx="151">
                  <c:v>28.618602091359385</c:v>
                </c:pt>
                <c:pt idx="152">
                  <c:v>32.336255801959773</c:v>
                </c:pt>
                <c:pt idx="153">
                  <c:v>24.444444444444443</c:v>
                </c:pt>
                <c:pt idx="154">
                  <c:v>28.796498905908095</c:v>
                </c:pt>
                <c:pt idx="155">
                  <c:v>28.420227361818895</c:v>
                </c:pt>
                <c:pt idx="156">
                  <c:v>33.021390374331553</c:v>
                </c:pt>
                <c:pt idx="157">
                  <c:v>53.324468085106382</c:v>
                </c:pt>
                <c:pt idx="158">
                  <c:v>48.549810844892811</c:v>
                </c:pt>
                <c:pt idx="159">
                  <c:v>32.177931831311383</c:v>
                </c:pt>
                <c:pt idx="160">
                  <c:v>44.659300184162063</c:v>
                </c:pt>
                <c:pt idx="161">
                  <c:v>28.372555518727211</c:v>
                </c:pt>
                <c:pt idx="162">
                  <c:v>26.083707025411062</c:v>
                </c:pt>
                <c:pt idx="163">
                  <c:v>27.099236641221374</c:v>
                </c:pt>
                <c:pt idx="164">
                  <c:v>29.520795660036168</c:v>
                </c:pt>
                <c:pt idx="165">
                  <c:v>26.91194708557255</c:v>
                </c:pt>
                <c:pt idx="166">
                  <c:v>22.96983758700696</c:v>
                </c:pt>
                <c:pt idx="167">
                  <c:v>23.950826621449767</c:v>
                </c:pt>
                <c:pt idx="168">
                  <c:v>26.504394861392832</c:v>
                </c:pt>
                <c:pt idx="169">
                  <c:v>22.563417890520693</c:v>
                </c:pt>
                <c:pt idx="170">
                  <c:v>22.906496432594817</c:v>
                </c:pt>
                <c:pt idx="171">
                  <c:v>42.521534847298355</c:v>
                </c:pt>
                <c:pt idx="172">
                  <c:v>34.256694367497694</c:v>
                </c:pt>
                <c:pt idx="173">
                  <c:v>31.412337662337663</c:v>
                </c:pt>
                <c:pt idx="174">
                  <c:v>37.596899224806201</c:v>
                </c:pt>
                <c:pt idx="175">
                  <c:v>35.335276967930028</c:v>
                </c:pt>
                <c:pt idx="176">
                  <c:v>49.561146869514339</c:v>
                </c:pt>
                <c:pt idx="177">
                  <c:v>64.645637034002462</c:v>
                </c:pt>
                <c:pt idx="178">
                  <c:v>31.949058693244741</c:v>
                </c:pt>
                <c:pt idx="179">
                  <c:v>42.149390243902438</c:v>
                </c:pt>
                <c:pt idx="180">
                  <c:v>43.365500603136311</c:v>
                </c:pt>
                <c:pt idx="181">
                  <c:v>26.360225140712945</c:v>
                </c:pt>
              </c:numCache>
            </c:numRef>
          </c:xVal>
          <c:yVal>
            <c:numRef>
              <c:f>'Дума партии'!$AB$2:$AB$184</c:f>
              <c:numCache>
                <c:formatCode>0.0</c:formatCode>
                <c:ptCount val="182"/>
                <c:pt idx="0">
                  <c:v>19.23076923076923</c:v>
                </c:pt>
                <c:pt idx="1">
                  <c:v>20.3913491246138</c:v>
                </c:pt>
                <c:pt idx="2">
                  <c:v>10.612991765782251</c:v>
                </c:pt>
                <c:pt idx="3">
                  <c:v>19.298245614035089</c:v>
                </c:pt>
                <c:pt idx="4">
                  <c:v>20.518358531317496</c:v>
                </c:pt>
                <c:pt idx="5">
                  <c:v>19.490695396669931</c:v>
                </c:pt>
                <c:pt idx="6">
                  <c:v>12.983425414364641</c:v>
                </c:pt>
                <c:pt idx="7">
                  <c:v>15.793588741204065</c:v>
                </c:pt>
                <c:pt idx="8">
                  <c:v>15.711395819285233</c:v>
                </c:pt>
                <c:pt idx="9">
                  <c:v>22.073578595317727</c:v>
                </c:pt>
                <c:pt idx="10">
                  <c:v>34.01015228426396</c:v>
                </c:pt>
                <c:pt idx="11">
                  <c:v>20.583717357910906</c:v>
                </c:pt>
                <c:pt idx="12">
                  <c:v>26.041666666666668</c:v>
                </c:pt>
                <c:pt idx="13">
                  <c:v>23.543400713436384</c:v>
                </c:pt>
                <c:pt idx="14">
                  <c:v>18.64406779661017</c:v>
                </c:pt>
                <c:pt idx="15">
                  <c:v>28.760330578512395</c:v>
                </c:pt>
                <c:pt idx="16">
                  <c:v>24.880382775119617</c:v>
                </c:pt>
                <c:pt idx="17">
                  <c:v>29.14691943127962</c:v>
                </c:pt>
                <c:pt idx="18">
                  <c:v>23.775388291517324</c:v>
                </c:pt>
                <c:pt idx="19">
                  <c:v>25.403225806451612</c:v>
                </c:pt>
                <c:pt idx="20">
                  <c:v>27.615062761506277</c:v>
                </c:pt>
                <c:pt idx="21">
                  <c:v>25.427135678391959</c:v>
                </c:pt>
                <c:pt idx="22">
                  <c:v>32.697547683923709</c:v>
                </c:pt>
                <c:pt idx="23">
                  <c:v>28.53566958698373</c:v>
                </c:pt>
                <c:pt idx="24">
                  <c:v>25.444596443228455</c:v>
                </c:pt>
                <c:pt idx="25">
                  <c:v>27.518427518427519</c:v>
                </c:pt>
                <c:pt idx="26">
                  <c:v>22.151321786690975</c:v>
                </c:pt>
                <c:pt idx="27">
                  <c:v>21.185617103984452</c:v>
                </c:pt>
                <c:pt idx="28">
                  <c:v>20.055452865064694</c:v>
                </c:pt>
                <c:pt idx="29">
                  <c:v>26.373626373626372</c:v>
                </c:pt>
                <c:pt idx="30">
                  <c:v>27.467811158798284</c:v>
                </c:pt>
                <c:pt idx="31">
                  <c:v>28.781204111600587</c:v>
                </c:pt>
                <c:pt idx="32">
                  <c:v>20.992366412213741</c:v>
                </c:pt>
                <c:pt idx="33">
                  <c:v>19.88950276243094</c:v>
                </c:pt>
                <c:pt idx="34">
                  <c:v>15.274463007159904</c:v>
                </c:pt>
                <c:pt idx="35">
                  <c:v>16.06475716064757</c:v>
                </c:pt>
                <c:pt idx="36">
                  <c:v>3.8095238095238093</c:v>
                </c:pt>
                <c:pt idx="37">
                  <c:v>19.55922865013774</c:v>
                </c:pt>
                <c:pt idx="38">
                  <c:v>31.791907514450866</c:v>
                </c:pt>
                <c:pt idx="39">
                  <c:v>23.185840707964601</c:v>
                </c:pt>
                <c:pt idx="40">
                  <c:v>19.170243204577968</c:v>
                </c:pt>
                <c:pt idx="41">
                  <c:v>26.086956521739129</c:v>
                </c:pt>
                <c:pt idx="42">
                  <c:v>33.404940923737918</c:v>
                </c:pt>
                <c:pt idx="43">
                  <c:v>32.869785082174459</c:v>
                </c:pt>
                <c:pt idx="44">
                  <c:v>9.4257178526841443</c:v>
                </c:pt>
                <c:pt idx="45">
                  <c:v>3.4611786716557531</c:v>
                </c:pt>
                <c:pt idx="46">
                  <c:v>18.727915194346291</c:v>
                </c:pt>
                <c:pt idx="47">
                  <c:v>27.938931297709924</c:v>
                </c:pt>
                <c:pt idx="48">
                  <c:v>24.541607898448518</c:v>
                </c:pt>
                <c:pt idx="49">
                  <c:v>21.563786008230451</c:v>
                </c:pt>
                <c:pt idx="50">
                  <c:v>21.789883268482491</c:v>
                </c:pt>
                <c:pt idx="51">
                  <c:v>26.592356687898089</c:v>
                </c:pt>
                <c:pt idx="52">
                  <c:v>30.16759776536313</c:v>
                </c:pt>
                <c:pt idx="53">
                  <c:v>34.063260340632603</c:v>
                </c:pt>
                <c:pt idx="54">
                  <c:v>27.742946708463951</c:v>
                </c:pt>
                <c:pt idx="55">
                  <c:v>26.785714285714285</c:v>
                </c:pt>
                <c:pt idx="56">
                  <c:v>20.789074355083461</c:v>
                </c:pt>
                <c:pt idx="57">
                  <c:v>26.485922836287799</c:v>
                </c:pt>
                <c:pt idx="58">
                  <c:v>21.898734177215189</c:v>
                </c:pt>
                <c:pt idx="59">
                  <c:v>23.469387755102041</c:v>
                </c:pt>
                <c:pt idx="60">
                  <c:v>23.734177215189874</c:v>
                </c:pt>
                <c:pt idx="61">
                  <c:v>15.651135005973716</c:v>
                </c:pt>
                <c:pt idx="62">
                  <c:v>31.010452961672474</c:v>
                </c:pt>
                <c:pt idx="63">
                  <c:v>28.888888888888889</c:v>
                </c:pt>
                <c:pt idx="64">
                  <c:v>32.043010752688176</c:v>
                </c:pt>
                <c:pt idx="65">
                  <c:v>22.57636122177955</c:v>
                </c:pt>
                <c:pt idx="66">
                  <c:v>21.535181236673775</c:v>
                </c:pt>
                <c:pt idx="67">
                  <c:v>21</c:v>
                </c:pt>
                <c:pt idx="68">
                  <c:v>26.212471131639724</c:v>
                </c:pt>
                <c:pt idx="69">
                  <c:v>24.578790882061448</c:v>
                </c:pt>
                <c:pt idx="70">
                  <c:v>26.200873362445414</c:v>
                </c:pt>
                <c:pt idx="71">
                  <c:v>22.76595744680851</c:v>
                </c:pt>
                <c:pt idx="72">
                  <c:v>23.421926910299003</c:v>
                </c:pt>
                <c:pt idx="73">
                  <c:v>29.396984924623116</c:v>
                </c:pt>
                <c:pt idx="74">
                  <c:v>30.885529157667385</c:v>
                </c:pt>
                <c:pt idx="75">
                  <c:v>23.313782991202345</c:v>
                </c:pt>
                <c:pt idx="76">
                  <c:v>20.996441281138789</c:v>
                </c:pt>
                <c:pt idx="77">
                  <c:v>17.307692307692307</c:v>
                </c:pt>
                <c:pt idx="78">
                  <c:v>16.243654822335024</c:v>
                </c:pt>
                <c:pt idx="79">
                  <c:v>20.52980132450331</c:v>
                </c:pt>
                <c:pt idx="80">
                  <c:v>23.155216284987276</c:v>
                </c:pt>
                <c:pt idx="81">
                  <c:v>27.926421404682273</c:v>
                </c:pt>
                <c:pt idx="82">
                  <c:v>19.326818675352879</c:v>
                </c:pt>
                <c:pt idx="83">
                  <c:v>22.39297475301866</c:v>
                </c:pt>
                <c:pt idx="84">
                  <c:v>21.212121212121211</c:v>
                </c:pt>
                <c:pt idx="85">
                  <c:v>26.790830945558739</c:v>
                </c:pt>
                <c:pt idx="86">
                  <c:v>18.9873417721519</c:v>
                </c:pt>
                <c:pt idx="87">
                  <c:v>23.354231974921632</c:v>
                </c:pt>
                <c:pt idx="88">
                  <c:v>30.131004366812228</c:v>
                </c:pt>
                <c:pt idx="89">
                  <c:v>20.601851851851851</c:v>
                </c:pt>
                <c:pt idx="90">
                  <c:v>20.253164556962027</c:v>
                </c:pt>
                <c:pt idx="91">
                  <c:v>17.990654205607477</c:v>
                </c:pt>
                <c:pt idx="92">
                  <c:v>17.050067658998646</c:v>
                </c:pt>
                <c:pt idx="93">
                  <c:v>13.4765625</c:v>
                </c:pt>
                <c:pt idx="94">
                  <c:v>17.126680820948337</c:v>
                </c:pt>
                <c:pt idx="95">
                  <c:v>22.993197278911566</c:v>
                </c:pt>
                <c:pt idx="96">
                  <c:v>17.915904936014627</c:v>
                </c:pt>
                <c:pt idx="97">
                  <c:v>16.593503072870938</c:v>
                </c:pt>
                <c:pt idx="98">
                  <c:v>18.404907975460123</c:v>
                </c:pt>
                <c:pt idx="99">
                  <c:v>26.315789473684209</c:v>
                </c:pt>
                <c:pt idx="100">
                  <c:v>25.575101488497971</c:v>
                </c:pt>
                <c:pt idx="101">
                  <c:v>20.327868852459016</c:v>
                </c:pt>
                <c:pt idx="102">
                  <c:v>15.752212389380531</c:v>
                </c:pt>
                <c:pt idx="103">
                  <c:v>4.1379310344827589</c:v>
                </c:pt>
                <c:pt idx="104">
                  <c:v>22.580645161290324</c:v>
                </c:pt>
                <c:pt idx="105">
                  <c:v>24.717691342534504</c:v>
                </c:pt>
                <c:pt idx="106">
                  <c:v>32.250580046403712</c:v>
                </c:pt>
                <c:pt idx="107">
                  <c:v>28.50299401197605</c:v>
                </c:pt>
                <c:pt idx="108">
                  <c:v>24.271844660194176</c:v>
                </c:pt>
                <c:pt idx="109">
                  <c:v>26.359832635983263</c:v>
                </c:pt>
                <c:pt idx="110">
                  <c:v>25.302826379542395</c:v>
                </c:pt>
                <c:pt idx="111">
                  <c:v>24.663212435233159</c:v>
                </c:pt>
                <c:pt idx="112">
                  <c:v>31.25</c:v>
                </c:pt>
                <c:pt idx="113">
                  <c:v>20.130932896890343</c:v>
                </c:pt>
                <c:pt idx="114">
                  <c:v>25.167037861915368</c:v>
                </c:pt>
                <c:pt idx="115">
                  <c:v>29.662077596996244</c:v>
                </c:pt>
                <c:pt idx="116">
                  <c:v>20.202020202020201</c:v>
                </c:pt>
                <c:pt idx="117">
                  <c:v>31.926121372031663</c:v>
                </c:pt>
                <c:pt idx="118">
                  <c:v>0</c:v>
                </c:pt>
                <c:pt idx="119">
                  <c:v>24.337585868498529</c:v>
                </c:pt>
                <c:pt idx="120">
                  <c:v>24.546722454672246</c:v>
                </c:pt>
                <c:pt idx="121">
                  <c:v>9.1983122362869203</c:v>
                </c:pt>
                <c:pt idx="122">
                  <c:v>23.880597014925375</c:v>
                </c:pt>
                <c:pt idx="123">
                  <c:v>23.888888888888889</c:v>
                </c:pt>
                <c:pt idx="124">
                  <c:v>26.724137931034484</c:v>
                </c:pt>
                <c:pt idx="125">
                  <c:v>23.870056497175142</c:v>
                </c:pt>
                <c:pt idx="126">
                  <c:v>24.183796856106408</c:v>
                </c:pt>
                <c:pt idx="127">
                  <c:v>27.815468113975577</c:v>
                </c:pt>
                <c:pt idx="128">
                  <c:v>26.21359223300971</c:v>
                </c:pt>
                <c:pt idx="129">
                  <c:v>26.411657559198542</c:v>
                </c:pt>
                <c:pt idx="130">
                  <c:v>29.742388758782202</c:v>
                </c:pt>
                <c:pt idx="131">
                  <c:v>31.440162271805274</c:v>
                </c:pt>
                <c:pt idx="132">
                  <c:v>34.548944337811903</c:v>
                </c:pt>
                <c:pt idx="133">
                  <c:v>30.6640625</c:v>
                </c:pt>
                <c:pt idx="134">
                  <c:v>33.885819521178639</c:v>
                </c:pt>
                <c:pt idx="135">
                  <c:v>22.742474916387959</c:v>
                </c:pt>
                <c:pt idx="136">
                  <c:v>22.202797202797203</c:v>
                </c:pt>
                <c:pt idx="137">
                  <c:v>17.11340206185567</c:v>
                </c:pt>
                <c:pt idx="138">
                  <c:v>29.850746268656717</c:v>
                </c:pt>
                <c:pt idx="139">
                  <c:v>29.281045751633986</c:v>
                </c:pt>
                <c:pt idx="140">
                  <c:v>15.011914217633041</c:v>
                </c:pt>
                <c:pt idx="141">
                  <c:v>31.60839160839161</c:v>
                </c:pt>
                <c:pt idx="142">
                  <c:v>28.376703841387855</c:v>
                </c:pt>
                <c:pt idx="143">
                  <c:v>27.864583333333332</c:v>
                </c:pt>
                <c:pt idx="144">
                  <c:v>30.82901554404145</c:v>
                </c:pt>
                <c:pt idx="145">
                  <c:v>27.292110874200425</c:v>
                </c:pt>
                <c:pt idx="146">
                  <c:v>18.83656509695291</c:v>
                </c:pt>
                <c:pt idx="147">
                  <c:v>27.786259541984734</c:v>
                </c:pt>
                <c:pt idx="148">
                  <c:v>27.088036117381488</c:v>
                </c:pt>
                <c:pt idx="149">
                  <c:v>28.207964601769913</c:v>
                </c:pt>
                <c:pt idx="150">
                  <c:v>27.469553450608931</c:v>
                </c:pt>
                <c:pt idx="151">
                  <c:v>32.115384615384613</c:v>
                </c:pt>
                <c:pt idx="152">
                  <c:v>33.173843700159487</c:v>
                </c:pt>
                <c:pt idx="153">
                  <c:v>30.039525691699605</c:v>
                </c:pt>
                <c:pt idx="154">
                  <c:v>30.699088145896656</c:v>
                </c:pt>
                <c:pt idx="155">
                  <c:v>33.793103448275865</c:v>
                </c:pt>
                <c:pt idx="156">
                  <c:v>19.838056680161944</c:v>
                </c:pt>
                <c:pt idx="157">
                  <c:v>13.466334164588529</c:v>
                </c:pt>
                <c:pt idx="158">
                  <c:v>18.372703412073491</c:v>
                </c:pt>
                <c:pt idx="159">
                  <c:v>27.09090909090909</c:v>
                </c:pt>
                <c:pt idx="160">
                  <c:v>12.371134020618557</c:v>
                </c:pt>
                <c:pt idx="161">
                  <c:v>30.058479532163744</c:v>
                </c:pt>
                <c:pt idx="162">
                  <c:v>32.9512893982808</c:v>
                </c:pt>
                <c:pt idx="163">
                  <c:v>31.298904538341159</c:v>
                </c:pt>
                <c:pt idx="164">
                  <c:v>32.924961715160798</c:v>
                </c:pt>
                <c:pt idx="165">
                  <c:v>32.258064516129032</c:v>
                </c:pt>
                <c:pt idx="166">
                  <c:v>24.137931034482758</c:v>
                </c:pt>
                <c:pt idx="167">
                  <c:v>30.427046263345197</c:v>
                </c:pt>
                <c:pt idx="168">
                  <c:v>33.035714285714285</c:v>
                </c:pt>
                <c:pt idx="169">
                  <c:v>35.403726708074537</c:v>
                </c:pt>
                <c:pt idx="170">
                  <c:v>33.278688524590166</c:v>
                </c:pt>
                <c:pt idx="171">
                  <c:v>20.073664825046041</c:v>
                </c:pt>
                <c:pt idx="172">
                  <c:v>14.016172506738544</c:v>
                </c:pt>
                <c:pt idx="173">
                  <c:v>28.165374677002585</c:v>
                </c:pt>
                <c:pt idx="174">
                  <c:v>27.061855670103093</c:v>
                </c:pt>
                <c:pt idx="175">
                  <c:v>22.772277227722771</c:v>
                </c:pt>
                <c:pt idx="176">
                  <c:v>25.622775800711743</c:v>
                </c:pt>
                <c:pt idx="177">
                  <c:v>13.117870722433461</c:v>
                </c:pt>
                <c:pt idx="178">
                  <c:v>16.811091854419409</c:v>
                </c:pt>
                <c:pt idx="179">
                  <c:v>48.282097649186255</c:v>
                </c:pt>
                <c:pt idx="180">
                  <c:v>54.520166898470094</c:v>
                </c:pt>
                <c:pt idx="181">
                  <c:v>30.960854092526692</c:v>
                </c:pt>
              </c:numCache>
            </c:numRef>
          </c:yVal>
          <c:bubbleSize>
            <c:numRef>
              <c:f>'Дума партии'!$J$2:$J$184</c:f>
              <c:numCache>
                <c:formatCode>General</c:formatCode>
                <c:ptCount val="182"/>
                <c:pt idx="0">
                  <c:v>2451</c:v>
                </c:pt>
                <c:pt idx="1">
                  <c:v>1779</c:v>
                </c:pt>
                <c:pt idx="2">
                  <c:v>1942</c:v>
                </c:pt>
                <c:pt idx="3">
                  <c:v>2110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422</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2240</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1292</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290</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2226</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3017</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0-36CE-4AFB-9313-7A7B86C5B0D3}"/>
            </c:ext>
          </c:extLst>
        </c:ser>
        <c:ser>
          <c:idx val="9"/>
          <c:order val="1"/>
          <c:tx>
            <c:strRef>
              <c:f>'Дума партии'!$AD$1</c:f>
              <c:strCache>
                <c:ptCount val="1"/>
                <c:pt idx="0">
                  <c:v>Экол. зеленые</c:v>
                </c:pt>
              </c:strCache>
            </c:strRef>
          </c:tx>
          <c:spPr>
            <a:solidFill>
              <a:srgbClr val="66FF66">
                <a:alpha val="49804"/>
              </a:srgbClr>
            </a:solidFill>
            <a:ln w="25400"/>
          </c:spPr>
          <c:invertIfNegative val="0"/>
          <c:xVal>
            <c:numRef>
              <c:f>'Дума партии'!$O$2:$O$184</c:f>
              <c:numCache>
                <c:formatCode>0.0</c:formatCode>
                <c:ptCount val="182"/>
                <c:pt idx="0">
                  <c:v>65.769073847409217</c:v>
                </c:pt>
                <c:pt idx="1">
                  <c:v>54.693648116919618</c:v>
                </c:pt>
                <c:pt idx="2">
                  <c:v>56.333676622039135</c:v>
                </c:pt>
                <c:pt idx="3">
                  <c:v>56.919431279620852</c:v>
                </c:pt>
                <c:pt idx="4">
                  <c:v>49.812130971551262</c:v>
                </c:pt>
                <c:pt idx="5">
                  <c:v>52.610030706243606</c:v>
                </c:pt>
                <c:pt idx="6">
                  <c:v>62.290927521540802</c:v>
                </c:pt>
                <c:pt idx="7">
                  <c:v>71.452328159645234</c:v>
                </c:pt>
                <c:pt idx="8">
                  <c:v>73.707753479125245</c:v>
                </c:pt>
                <c:pt idx="9">
                  <c:v>38.504037399065027</c:v>
                </c:pt>
                <c:pt idx="10">
                  <c:v>26.023778071334213</c:v>
                </c:pt>
                <c:pt idx="11">
                  <c:v>73.80952380952381</c:v>
                </c:pt>
                <c:pt idx="12">
                  <c:v>52.41128298453139</c:v>
                </c:pt>
                <c:pt idx="13">
                  <c:v>35.041666666666664</c:v>
                </c:pt>
                <c:pt idx="14">
                  <c:v>48.479868529170091</c:v>
                </c:pt>
                <c:pt idx="15">
                  <c:v>30.726256983240223</c:v>
                </c:pt>
                <c:pt idx="16">
                  <c:v>49.526066350710899</c:v>
                </c:pt>
                <c:pt idx="17">
                  <c:v>34.267413931144915</c:v>
                </c:pt>
                <c:pt idx="18">
                  <c:v>48.776223776223773</c:v>
                </c:pt>
                <c:pt idx="19">
                  <c:v>36.920222634508349</c:v>
                </c:pt>
                <c:pt idx="20">
                  <c:v>26.006528835690968</c:v>
                </c:pt>
                <c:pt idx="21">
                  <c:v>47.85954785954786</c:v>
                </c:pt>
                <c:pt idx="22">
                  <c:v>33.182844243792324</c:v>
                </c:pt>
                <c:pt idx="23">
                  <c:v>38.321342925659472</c:v>
                </c:pt>
                <c:pt idx="24">
                  <c:v>32.349052446011456</c:v>
                </c:pt>
                <c:pt idx="25">
                  <c:v>38.541666666666664</c:v>
                </c:pt>
                <c:pt idx="26">
                  <c:v>54.414682539682538</c:v>
                </c:pt>
                <c:pt idx="27">
                  <c:v>44.678111587982833</c:v>
                </c:pt>
                <c:pt idx="28">
                  <c:v>48.960216998191683</c:v>
                </c:pt>
                <c:pt idx="29">
                  <c:v>36.23435722411832</c:v>
                </c:pt>
                <c:pt idx="30">
                  <c:v>41.570026761819804</c:v>
                </c:pt>
                <c:pt idx="31">
                  <c:v>30.401785714285715</c:v>
                </c:pt>
                <c:pt idx="32">
                  <c:v>40.432098765432102</c:v>
                </c:pt>
                <c:pt idx="33">
                  <c:v>95.27145359019265</c:v>
                </c:pt>
                <c:pt idx="34">
                  <c:v>43.419689119170982</c:v>
                </c:pt>
                <c:pt idx="35">
                  <c:v>61.180952380952384</c:v>
                </c:pt>
                <c:pt idx="36">
                  <c:v>82.278481012658233</c:v>
                </c:pt>
                <c:pt idx="37">
                  <c:v>37.891440501043839</c:v>
                </c:pt>
                <c:pt idx="38">
                  <c:v>40.373395565927652</c:v>
                </c:pt>
                <c:pt idx="39">
                  <c:v>40.014164305949009</c:v>
                </c:pt>
                <c:pt idx="40">
                  <c:v>35.019646365422396</c:v>
                </c:pt>
                <c:pt idx="41">
                  <c:v>32.91592128801431</c:v>
                </c:pt>
                <c:pt idx="42">
                  <c:v>34.583952451708768</c:v>
                </c:pt>
                <c:pt idx="43">
                  <c:v>34.065460809646858</c:v>
                </c:pt>
                <c:pt idx="44">
                  <c:v>66.542133665421332</c:v>
                </c:pt>
                <c:pt idx="45">
                  <c:v>82.972136222910223</c:v>
                </c:pt>
                <c:pt idx="46">
                  <c:v>64.759725400457668</c:v>
                </c:pt>
                <c:pt idx="47">
                  <c:v>40.809968847352025</c:v>
                </c:pt>
                <c:pt idx="48">
                  <c:v>45.801033591731269</c:v>
                </c:pt>
                <c:pt idx="49">
                  <c:v>54.984354045596781</c:v>
                </c:pt>
                <c:pt idx="50">
                  <c:v>40.988835725677831</c:v>
                </c:pt>
                <c:pt idx="51">
                  <c:v>37.672465506898618</c:v>
                </c:pt>
                <c:pt idx="52">
                  <c:v>42.771804062126641</c:v>
                </c:pt>
                <c:pt idx="53">
                  <c:v>78.285714285714292</c:v>
                </c:pt>
                <c:pt idx="54">
                  <c:v>35.802469135802468</c:v>
                </c:pt>
                <c:pt idx="55">
                  <c:v>34.591626630061768</c:v>
                </c:pt>
                <c:pt idx="56">
                  <c:v>43.99198931909212</c:v>
                </c:pt>
                <c:pt idx="57">
                  <c:v>35.998498498498499</c:v>
                </c:pt>
                <c:pt idx="58">
                  <c:v>28.264758497316638</c:v>
                </c:pt>
                <c:pt idx="59">
                  <c:v>41.413753361505954</c:v>
                </c:pt>
                <c:pt idx="60">
                  <c:v>38.279830405814657</c:v>
                </c:pt>
                <c:pt idx="61">
                  <c:v>44.122298365840798</c:v>
                </c:pt>
                <c:pt idx="62">
                  <c:v>28.415841584158414</c:v>
                </c:pt>
                <c:pt idx="63">
                  <c:v>28.213166144200628</c:v>
                </c:pt>
                <c:pt idx="64">
                  <c:v>31.632653061224488</c:v>
                </c:pt>
                <c:pt idx="65">
                  <c:v>57.634902411021812</c:v>
                </c:pt>
                <c:pt idx="66">
                  <c:v>65.963431786216603</c:v>
                </c:pt>
                <c:pt idx="67">
                  <c:v>59.171597633136095</c:v>
                </c:pt>
                <c:pt idx="68">
                  <c:v>46.972972972972975</c:v>
                </c:pt>
                <c:pt idx="69">
                  <c:v>52.910330361824855</c:v>
                </c:pt>
                <c:pt idx="70">
                  <c:v>36.995153473344104</c:v>
                </c:pt>
                <c:pt idx="71">
                  <c:v>41.978609625668447</c:v>
                </c:pt>
                <c:pt idx="72">
                  <c:v>40.463576158940398</c:v>
                </c:pt>
                <c:pt idx="73">
                  <c:v>22.40990990990991</c:v>
                </c:pt>
                <c:pt idx="74">
                  <c:v>35.343511450381676</c:v>
                </c:pt>
                <c:pt idx="75">
                  <c:v>51.278195488721806</c:v>
                </c:pt>
                <c:pt idx="76">
                  <c:v>55.201177625122668</c:v>
                </c:pt>
                <c:pt idx="77">
                  <c:v>57.815126050420169</c:v>
                </c:pt>
                <c:pt idx="78">
                  <c:v>51.873767258382642</c:v>
                </c:pt>
                <c:pt idx="79">
                  <c:v>42.535211267605632</c:v>
                </c:pt>
                <c:pt idx="80">
                  <c:v>51.540983606557376</c:v>
                </c:pt>
                <c:pt idx="81">
                  <c:v>40.625</c:v>
                </c:pt>
                <c:pt idx="82">
                  <c:v>47.904811174340402</c:v>
                </c:pt>
                <c:pt idx="83">
                  <c:v>44.525904203323556</c:v>
                </c:pt>
                <c:pt idx="84">
                  <c:v>40.621336459554513</c:v>
                </c:pt>
                <c:pt idx="85">
                  <c:v>40.938416422287389</c:v>
                </c:pt>
                <c:pt idx="86">
                  <c:v>46.500981033355131</c:v>
                </c:pt>
                <c:pt idx="87">
                  <c:v>35.444444444444443</c:v>
                </c:pt>
                <c:pt idx="88">
                  <c:v>38.161993769470406</c:v>
                </c:pt>
                <c:pt idx="89">
                  <c:v>43.880142204164549</c:v>
                </c:pt>
                <c:pt idx="90">
                  <c:v>49.60753532182104</c:v>
                </c:pt>
                <c:pt idx="91">
                  <c:v>51.973284760170003</c:v>
                </c:pt>
                <c:pt idx="92">
                  <c:v>56.155015197568389</c:v>
                </c:pt>
                <c:pt idx="93">
                  <c:v>63.973344439816742</c:v>
                </c:pt>
                <c:pt idx="94">
                  <c:v>66.090611863615138</c:v>
                </c:pt>
                <c:pt idx="95">
                  <c:v>65.528455284552848</c:v>
                </c:pt>
                <c:pt idx="96">
                  <c:v>59.78142076502732</c:v>
                </c:pt>
                <c:pt idx="97">
                  <c:v>47.716799329702553</c:v>
                </c:pt>
                <c:pt idx="98">
                  <c:v>53.094462540716613</c:v>
                </c:pt>
                <c:pt idx="99">
                  <c:v>31.606805293005671</c:v>
                </c:pt>
                <c:pt idx="100">
                  <c:v>36.172295643661279</c:v>
                </c:pt>
                <c:pt idx="101">
                  <c:v>57.703081232492998</c:v>
                </c:pt>
                <c:pt idx="102">
                  <c:v>57.186234817813762</c:v>
                </c:pt>
                <c:pt idx="103">
                  <c:v>100</c:v>
                </c:pt>
                <c:pt idx="104">
                  <c:v>90.865384615384613</c:v>
                </c:pt>
                <c:pt idx="105">
                  <c:v>45.725760183591511</c:v>
                </c:pt>
                <c:pt idx="106">
                  <c:v>38.141592920353979</c:v>
                </c:pt>
                <c:pt idx="107">
                  <c:v>35.991379310344826</c:v>
                </c:pt>
                <c:pt idx="108">
                  <c:v>40.813135261923378</c:v>
                </c:pt>
                <c:pt idx="109">
                  <c:v>37.786561264822133</c:v>
                </c:pt>
                <c:pt idx="110">
                  <c:v>42.659279778393355</c:v>
                </c:pt>
                <c:pt idx="111">
                  <c:v>39.198131568703779</c:v>
                </c:pt>
                <c:pt idx="112">
                  <c:v>39.279869067103107</c:v>
                </c:pt>
                <c:pt idx="113">
                  <c:v>42.108890420399725</c:v>
                </c:pt>
                <c:pt idx="114">
                  <c:v>37.489609310058185</c:v>
                </c:pt>
                <c:pt idx="115">
                  <c:v>35.413899955732624</c:v>
                </c:pt>
                <c:pt idx="116">
                  <c:v>48.197955890263586</c:v>
                </c:pt>
                <c:pt idx="117">
                  <c:v>36.372360844529751</c:v>
                </c:pt>
                <c:pt idx="118">
                  <c:v>0</c:v>
                </c:pt>
                <c:pt idx="119">
                  <c:v>41.97530864197531</c:v>
                </c:pt>
                <c:pt idx="120">
                  <c:v>32.253711201079625</c:v>
                </c:pt>
                <c:pt idx="121">
                  <c:v>51.320918146383718</c:v>
                </c:pt>
                <c:pt idx="122">
                  <c:v>33.550325488232346</c:v>
                </c:pt>
                <c:pt idx="123">
                  <c:v>35.837864557587743</c:v>
                </c:pt>
                <c:pt idx="124">
                  <c:v>43.203883495145632</c:v>
                </c:pt>
                <c:pt idx="125">
                  <c:v>40.560640732265448</c:v>
                </c:pt>
                <c:pt idx="126">
                  <c:v>36.066288704753596</c:v>
                </c:pt>
                <c:pt idx="127">
                  <c:v>34.057301293900181</c:v>
                </c:pt>
                <c:pt idx="128">
                  <c:v>36.285858077503775</c:v>
                </c:pt>
                <c:pt idx="129">
                  <c:v>42.036753445635526</c:v>
                </c:pt>
                <c:pt idx="130">
                  <c:v>70.199587061252586</c:v>
                </c:pt>
                <c:pt idx="131">
                  <c:v>31.971465629053178</c:v>
                </c:pt>
                <c:pt idx="132">
                  <c:v>35.394021739130437</c:v>
                </c:pt>
                <c:pt idx="133">
                  <c:v>35.140700068634182</c:v>
                </c:pt>
                <c:pt idx="134">
                  <c:v>29.351351351351351</c:v>
                </c:pt>
                <c:pt idx="135">
                  <c:v>42.471590909090907</c:v>
                </c:pt>
                <c:pt idx="136">
                  <c:v>55.265700483091784</c:v>
                </c:pt>
                <c:pt idx="137">
                  <c:v>51.10526315789474</c:v>
                </c:pt>
                <c:pt idx="138">
                  <c:v>36.855895196506552</c:v>
                </c:pt>
                <c:pt idx="139">
                  <c:v>34.820209376422397</c:v>
                </c:pt>
                <c:pt idx="140">
                  <c:v>69.944444444444443</c:v>
                </c:pt>
                <c:pt idx="141">
                  <c:v>33.010156971375807</c:v>
                </c:pt>
                <c:pt idx="142">
                  <c:v>40.26290165530672</c:v>
                </c:pt>
                <c:pt idx="143">
                  <c:v>38.359412043622569</c:v>
                </c:pt>
                <c:pt idx="144">
                  <c:v>30.732484076433121</c:v>
                </c:pt>
                <c:pt idx="145">
                  <c:v>37.028301886792455</c:v>
                </c:pt>
                <c:pt idx="146">
                  <c:v>35.288367546432063</c:v>
                </c:pt>
                <c:pt idx="147">
                  <c:v>34.275248560962844</c:v>
                </c:pt>
                <c:pt idx="148">
                  <c:v>38.125802310654684</c:v>
                </c:pt>
                <c:pt idx="149">
                  <c:v>40.745732255166217</c:v>
                </c:pt>
                <c:pt idx="150">
                  <c:v>27.971233913701742</c:v>
                </c:pt>
                <c:pt idx="151">
                  <c:v>28.618602091359385</c:v>
                </c:pt>
                <c:pt idx="152">
                  <c:v>32.336255801959773</c:v>
                </c:pt>
                <c:pt idx="153">
                  <c:v>24.444444444444443</c:v>
                </c:pt>
                <c:pt idx="154">
                  <c:v>28.796498905908095</c:v>
                </c:pt>
                <c:pt idx="155">
                  <c:v>28.420227361818895</c:v>
                </c:pt>
                <c:pt idx="156">
                  <c:v>33.021390374331553</c:v>
                </c:pt>
                <c:pt idx="157">
                  <c:v>53.324468085106382</c:v>
                </c:pt>
                <c:pt idx="158">
                  <c:v>48.549810844892811</c:v>
                </c:pt>
                <c:pt idx="159">
                  <c:v>32.177931831311383</c:v>
                </c:pt>
                <c:pt idx="160">
                  <c:v>44.659300184162063</c:v>
                </c:pt>
                <c:pt idx="161">
                  <c:v>28.372555518727211</c:v>
                </c:pt>
                <c:pt idx="162">
                  <c:v>26.083707025411062</c:v>
                </c:pt>
                <c:pt idx="163">
                  <c:v>27.099236641221374</c:v>
                </c:pt>
                <c:pt idx="164">
                  <c:v>29.520795660036168</c:v>
                </c:pt>
                <c:pt idx="165">
                  <c:v>26.91194708557255</c:v>
                </c:pt>
                <c:pt idx="166">
                  <c:v>22.96983758700696</c:v>
                </c:pt>
                <c:pt idx="167">
                  <c:v>23.950826621449767</c:v>
                </c:pt>
                <c:pt idx="168">
                  <c:v>26.504394861392832</c:v>
                </c:pt>
                <c:pt idx="169">
                  <c:v>22.563417890520693</c:v>
                </c:pt>
                <c:pt idx="170">
                  <c:v>22.906496432594817</c:v>
                </c:pt>
                <c:pt idx="171">
                  <c:v>42.521534847298355</c:v>
                </c:pt>
                <c:pt idx="172">
                  <c:v>34.256694367497694</c:v>
                </c:pt>
                <c:pt idx="173">
                  <c:v>31.412337662337663</c:v>
                </c:pt>
                <c:pt idx="174">
                  <c:v>37.596899224806201</c:v>
                </c:pt>
                <c:pt idx="175">
                  <c:v>35.335276967930028</c:v>
                </c:pt>
                <c:pt idx="176">
                  <c:v>49.561146869514339</c:v>
                </c:pt>
                <c:pt idx="177">
                  <c:v>64.645637034002462</c:v>
                </c:pt>
                <c:pt idx="178">
                  <c:v>31.949058693244741</c:v>
                </c:pt>
                <c:pt idx="179">
                  <c:v>42.149390243902438</c:v>
                </c:pt>
                <c:pt idx="180">
                  <c:v>43.365500603136311</c:v>
                </c:pt>
                <c:pt idx="181">
                  <c:v>26.360225140712945</c:v>
                </c:pt>
              </c:numCache>
            </c:numRef>
          </c:xVal>
          <c:yVal>
            <c:numRef>
              <c:f>'Дума партии'!$AD$2:$AD$184</c:f>
              <c:numCache>
                <c:formatCode>0.0</c:formatCode>
                <c:ptCount val="182"/>
                <c:pt idx="0">
                  <c:v>2.2332506203473947</c:v>
                </c:pt>
                <c:pt idx="1">
                  <c:v>0.61791967044284246</c:v>
                </c:pt>
                <c:pt idx="2">
                  <c:v>0.54894784995425439</c:v>
                </c:pt>
                <c:pt idx="3">
                  <c:v>0.16708437761069339</c:v>
                </c:pt>
                <c:pt idx="4">
                  <c:v>2.0518358531317493</c:v>
                </c:pt>
                <c:pt idx="5">
                  <c:v>0.97943192948090108</c:v>
                </c:pt>
                <c:pt idx="6">
                  <c:v>1.565377532228361</c:v>
                </c:pt>
                <c:pt idx="7">
                  <c:v>1.1727912431587177</c:v>
                </c:pt>
                <c:pt idx="8">
                  <c:v>1.3486176668914363</c:v>
                </c:pt>
                <c:pt idx="9">
                  <c:v>1.0033444816053512</c:v>
                </c:pt>
                <c:pt idx="10">
                  <c:v>2.5380710659898478</c:v>
                </c:pt>
                <c:pt idx="11">
                  <c:v>1.075268817204301</c:v>
                </c:pt>
                <c:pt idx="12">
                  <c:v>2.0833333333333335</c:v>
                </c:pt>
                <c:pt idx="13">
                  <c:v>0.71343638525564801</c:v>
                </c:pt>
                <c:pt idx="14">
                  <c:v>1.1864406779661016</c:v>
                </c:pt>
                <c:pt idx="15">
                  <c:v>2.1487603305785123</c:v>
                </c:pt>
                <c:pt idx="16">
                  <c:v>0.9569377990430622</c:v>
                </c:pt>
                <c:pt idx="17">
                  <c:v>1.4218009478672986</c:v>
                </c:pt>
                <c:pt idx="18">
                  <c:v>0.35842293906810035</c:v>
                </c:pt>
                <c:pt idx="19">
                  <c:v>1.4112903225806452</c:v>
                </c:pt>
                <c:pt idx="20">
                  <c:v>2.0920502092050208</c:v>
                </c:pt>
                <c:pt idx="21">
                  <c:v>1.8090452261306533</c:v>
                </c:pt>
                <c:pt idx="22">
                  <c:v>1.9073569482288828</c:v>
                </c:pt>
                <c:pt idx="23">
                  <c:v>3.0037546933667083</c:v>
                </c:pt>
                <c:pt idx="24">
                  <c:v>1.3679890560875514</c:v>
                </c:pt>
                <c:pt idx="25">
                  <c:v>1.8427518427518428</c:v>
                </c:pt>
                <c:pt idx="26">
                  <c:v>0.91157702825888787</c:v>
                </c:pt>
                <c:pt idx="27">
                  <c:v>1.3605442176870748</c:v>
                </c:pt>
                <c:pt idx="28">
                  <c:v>1.756007393715342</c:v>
                </c:pt>
                <c:pt idx="29">
                  <c:v>2.3547880690737832</c:v>
                </c:pt>
                <c:pt idx="30">
                  <c:v>1.502145922746781</c:v>
                </c:pt>
                <c:pt idx="31">
                  <c:v>1.4684287812041117</c:v>
                </c:pt>
                <c:pt idx="32">
                  <c:v>0.76335877862595425</c:v>
                </c:pt>
                <c:pt idx="33">
                  <c:v>1.1049723756906078</c:v>
                </c:pt>
                <c:pt idx="34">
                  <c:v>1.1933174224343674</c:v>
                </c:pt>
                <c:pt idx="35">
                  <c:v>0.93399750933997505</c:v>
                </c:pt>
                <c:pt idx="36">
                  <c:v>1.8315018315018314</c:v>
                </c:pt>
                <c:pt idx="37">
                  <c:v>1.5151515151515151</c:v>
                </c:pt>
                <c:pt idx="38">
                  <c:v>1.4450867052023122</c:v>
                </c:pt>
                <c:pt idx="39">
                  <c:v>1.5929203539823009</c:v>
                </c:pt>
                <c:pt idx="40">
                  <c:v>1.5736766809728182</c:v>
                </c:pt>
                <c:pt idx="41">
                  <c:v>2.1739130434782608</c:v>
                </c:pt>
                <c:pt idx="42">
                  <c:v>1.3963480128893662</c:v>
                </c:pt>
                <c:pt idx="43">
                  <c:v>1.6434892541087232</c:v>
                </c:pt>
                <c:pt idx="44">
                  <c:v>0.43695380774032461</c:v>
                </c:pt>
                <c:pt idx="45">
                  <c:v>0.5612722170252572</c:v>
                </c:pt>
                <c:pt idx="46">
                  <c:v>1.0600706713780919</c:v>
                </c:pt>
                <c:pt idx="47">
                  <c:v>1.6793893129770991</c:v>
                </c:pt>
                <c:pt idx="48">
                  <c:v>1.1283497884344147</c:v>
                </c:pt>
                <c:pt idx="49">
                  <c:v>1.1522633744855968</c:v>
                </c:pt>
                <c:pt idx="50">
                  <c:v>1.4267185473411155</c:v>
                </c:pt>
                <c:pt idx="51">
                  <c:v>1.7515923566878981</c:v>
                </c:pt>
                <c:pt idx="52">
                  <c:v>1.3966480446927374</c:v>
                </c:pt>
                <c:pt idx="53">
                  <c:v>0.72992700729927007</c:v>
                </c:pt>
                <c:pt idx="54">
                  <c:v>1.8808777429467085</c:v>
                </c:pt>
                <c:pt idx="55">
                  <c:v>2.5793650793650795</c:v>
                </c:pt>
                <c:pt idx="56">
                  <c:v>2.5796661608497722</c:v>
                </c:pt>
                <c:pt idx="57">
                  <c:v>1.8769551616266944</c:v>
                </c:pt>
                <c:pt idx="58">
                  <c:v>1.6455696202531647</c:v>
                </c:pt>
                <c:pt idx="59">
                  <c:v>1.0204081632653061</c:v>
                </c:pt>
                <c:pt idx="60">
                  <c:v>1.8987341772151898</c:v>
                </c:pt>
                <c:pt idx="61">
                  <c:v>1.1947431302270013</c:v>
                </c:pt>
                <c:pt idx="62">
                  <c:v>3.1358885017421603</c:v>
                </c:pt>
                <c:pt idx="63">
                  <c:v>2.2222222222222223</c:v>
                </c:pt>
                <c:pt idx="64">
                  <c:v>1.075268817204301</c:v>
                </c:pt>
                <c:pt idx="65">
                  <c:v>0.99601593625498008</c:v>
                </c:pt>
                <c:pt idx="66">
                  <c:v>2.1321961620469083</c:v>
                </c:pt>
                <c:pt idx="67">
                  <c:v>3.25</c:v>
                </c:pt>
                <c:pt idx="68">
                  <c:v>1.1547344110854503</c:v>
                </c:pt>
                <c:pt idx="69">
                  <c:v>2.2794846382556986</c:v>
                </c:pt>
                <c:pt idx="70">
                  <c:v>1.5283842794759825</c:v>
                </c:pt>
                <c:pt idx="71">
                  <c:v>0.63829787234042556</c:v>
                </c:pt>
                <c:pt idx="72">
                  <c:v>1.4950166112956811</c:v>
                </c:pt>
                <c:pt idx="73">
                  <c:v>2.2613065326633164</c:v>
                </c:pt>
                <c:pt idx="74">
                  <c:v>1.9438444924406046</c:v>
                </c:pt>
                <c:pt idx="75">
                  <c:v>1.1730205278592376</c:v>
                </c:pt>
                <c:pt idx="76">
                  <c:v>0.88967971530249113</c:v>
                </c:pt>
                <c:pt idx="77">
                  <c:v>0.80128205128205132</c:v>
                </c:pt>
                <c:pt idx="78">
                  <c:v>1.015228426395939</c:v>
                </c:pt>
                <c:pt idx="79">
                  <c:v>0.99337748344370858</c:v>
                </c:pt>
                <c:pt idx="80">
                  <c:v>1.7811704834605597</c:v>
                </c:pt>
                <c:pt idx="81">
                  <c:v>1.0033444816053512</c:v>
                </c:pt>
                <c:pt idx="82">
                  <c:v>3.0401737242128122</c:v>
                </c:pt>
                <c:pt idx="83">
                  <c:v>1.646542261251372</c:v>
                </c:pt>
                <c:pt idx="84">
                  <c:v>2.4531024531024532</c:v>
                </c:pt>
                <c:pt idx="85">
                  <c:v>1.4326647564469914</c:v>
                </c:pt>
                <c:pt idx="86">
                  <c:v>1.5471167369901546</c:v>
                </c:pt>
                <c:pt idx="87">
                  <c:v>1.7241379310344827</c:v>
                </c:pt>
                <c:pt idx="88">
                  <c:v>2.0378457059679769</c:v>
                </c:pt>
                <c:pt idx="89">
                  <c:v>1.0416666666666667</c:v>
                </c:pt>
                <c:pt idx="90">
                  <c:v>1.6877637130801688</c:v>
                </c:pt>
                <c:pt idx="91">
                  <c:v>1.5186915887850467</c:v>
                </c:pt>
                <c:pt idx="92">
                  <c:v>0.94722598105548039</c:v>
                </c:pt>
                <c:pt idx="93">
                  <c:v>1.0416666666666667</c:v>
                </c:pt>
                <c:pt idx="94">
                  <c:v>2.0523708421797595</c:v>
                </c:pt>
                <c:pt idx="95">
                  <c:v>0.68027210884353739</c:v>
                </c:pt>
                <c:pt idx="96">
                  <c:v>1.8281535648994516</c:v>
                </c:pt>
                <c:pt idx="97">
                  <c:v>0.52677787532923614</c:v>
                </c:pt>
                <c:pt idx="98">
                  <c:v>0.61349693251533743</c:v>
                </c:pt>
                <c:pt idx="99">
                  <c:v>2.5119617224880382</c:v>
                </c:pt>
                <c:pt idx="100">
                  <c:v>1.8944519621109608</c:v>
                </c:pt>
                <c:pt idx="101">
                  <c:v>0.98360655737704916</c:v>
                </c:pt>
                <c:pt idx="102">
                  <c:v>0.88495575221238942</c:v>
                </c:pt>
                <c:pt idx="103">
                  <c:v>0</c:v>
                </c:pt>
                <c:pt idx="104">
                  <c:v>3.763440860215054</c:v>
                </c:pt>
                <c:pt idx="105">
                  <c:v>2.2584692597239648</c:v>
                </c:pt>
                <c:pt idx="106">
                  <c:v>1.160092807424594</c:v>
                </c:pt>
                <c:pt idx="107">
                  <c:v>1.7964071856287425</c:v>
                </c:pt>
                <c:pt idx="108">
                  <c:v>1.3592233009708738</c:v>
                </c:pt>
                <c:pt idx="109">
                  <c:v>1.0460251046025104</c:v>
                </c:pt>
                <c:pt idx="110">
                  <c:v>2.6917900403768504</c:v>
                </c:pt>
                <c:pt idx="111">
                  <c:v>2.1761658031088085</c:v>
                </c:pt>
                <c:pt idx="112">
                  <c:v>1.875</c:v>
                </c:pt>
                <c:pt idx="113">
                  <c:v>0.81833060556464809</c:v>
                </c:pt>
                <c:pt idx="114">
                  <c:v>1.3363028953229399</c:v>
                </c:pt>
                <c:pt idx="115">
                  <c:v>1.5018773466833542</c:v>
                </c:pt>
                <c:pt idx="116">
                  <c:v>1.6835016835016836</c:v>
                </c:pt>
                <c:pt idx="117">
                  <c:v>0.92348284960422167</c:v>
                </c:pt>
                <c:pt idx="118">
                  <c:v>0</c:v>
                </c:pt>
                <c:pt idx="119">
                  <c:v>1.1776251226692835</c:v>
                </c:pt>
                <c:pt idx="120">
                  <c:v>1.394700139470014</c:v>
                </c:pt>
                <c:pt idx="121">
                  <c:v>1.0126582278481013</c:v>
                </c:pt>
                <c:pt idx="122">
                  <c:v>1.9402985074626866</c:v>
                </c:pt>
                <c:pt idx="123">
                  <c:v>2.2222222222222223</c:v>
                </c:pt>
                <c:pt idx="124">
                  <c:v>1.1083743842364533</c:v>
                </c:pt>
                <c:pt idx="125">
                  <c:v>1.4124293785310735</c:v>
                </c:pt>
                <c:pt idx="126">
                  <c:v>2.0556227327690446</c:v>
                </c:pt>
                <c:pt idx="127">
                  <c:v>1.6282225237449117</c:v>
                </c:pt>
                <c:pt idx="128">
                  <c:v>1.5256588072122053</c:v>
                </c:pt>
                <c:pt idx="129">
                  <c:v>1.639344262295082</c:v>
                </c:pt>
                <c:pt idx="130">
                  <c:v>2.3419203747072599</c:v>
                </c:pt>
                <c:pt idx="131">
                  <c:v>2.6369168356997972</c:v>
                </c:pt>
                <c:pt idx="132">
                  <c:v>3.45489443378119</c:v>
                </c:pt>
                <c:pt idx="133">
                  <c:v>1.7578125</c:v>
                </c:pt>
                <c:pt idx="134">
                  <c:v>1.4732965009208103</c:v>
                </c:pt>
                <c:pt idx="135">
                  <c:v>2.229654403567447</c:v>
                </c:pt>
                <c:pt idx="136">
                  <c:v>1.5734265734265733</c:v>
                </c:pt>
                <c:pt idx="137">
                  <c:v>1.3402061855670102</c:v>
                </c:pt>
                <c:pt idx="138">
                  <c:v>2.6119402985074629</c:v>
                </c:pt>
                <c:pt idx="139">
                  <c:v>2.3529411764705883</c:v>
                </c:pt>
                <c:pt idx="140">
                  <c:v>0.23828435266084194</c:v>
                </c:pt>
                <c:pt idx="141">
                  <c:v>1.118881118881119</c:v>
                </c:pt>
                <c:pt idx="142">
                  <c:v>0.99132589838909546</c:v>
                </c:pt>
                <c:pt idx="143">
                  <c:v>1.0416666666666667</c:v>
                </c:pt>
                <c:pt idx="144">
                  <c:v>1.8134715025906736</c:v>
                </c:pt>
                <c:pt idx="145">
                  <c:v>2.1321961620469083</c:v>
                </c:pt>
                <c:pt idx="146">
                  <c:v>0.83102493074792239</c:v>
                </c:pt>
                <c:pt idx="147">
                  <c:v>2.5954198473282442</c:v>
                </c:pt>
                <c:pt idx="148">
                  <c:v>1.1286681715575622</c:v>
                </c:pt>
                <c:pt idx="149">
                  <c:v>2.3230088495575223</c:v>
                </c:pt>
                <c:pt idx="150">
                  <c:v>1.7591339648173208</c:v>
                </c:pt>
                <c:pt idx="151">
                  <c:v>1.9230769230769231</c:v>
                </c:pt>
                <c:pt idx="152">
                  <c:v>2.073365231259968</c:v>
                </c:pt>
                <c:pt idx="153">
                  <c:v>1.5810276679841897</c:v>
                </c:pt>
                <c:pt idx="154">
                  <c:v>1.9756838905775076</c:v>
                </c:pt>
                <c:pt idx="155">
                  <c:v>2.4827586206896552</c:v>
                </c:pt>
                <c:pt idx="156">
                  <c:v>1.0121457489878543</c:v>
                </c:pt>
                <c:pt idx="157">
                  <c:v>0.99750623441396513</c:v>
                </c:pt>
                <c:pt idx="158">
                  <c:v>1.5748031496062993</c:v>
                </c:pt>
                <c:pt idx="159">
                  <c:v>0.72727272727272729</c:v>
                </c:pt>
                <c:pt idx="160">
                  <c:v>0.82474226804123707</c:v>
                </c:pt>
                <c:pt idx="161">
                  <c:v>3.3918128654970761</c:v>
                </c:pt>
                <c:pt idx="162">
                  <c:v>2.8653295128939829</c:v>
                </c:pt>
                <c:pt idx="163">
                  <c:v>2.1909233176838812</c:v>
                </c:pt>
                <c:pt idx="164">
                  <c:v>1.9908116385911179</c:v>
                </c:pt>
                <c:pt idx="165">
                  <c:v>1.9969278033794162</c:v>
                </c:pt>
                <c:pt idx="166">
                  <c:v>2.4340770791075053</c:v>
                </c:pt>
                <c:pt idx="167">
                  <c:v>1.4234875444839858</c:v>
                </c:pt>
                <c:pt idx="168">
                  <c:v>2.1683673469387754</c:v>
                </c:pt>
                <c:pt idx="169">
                  <c:v>3.1055900621118013</c:v>
                </c:pt>
                <c:pt idx="170">
                  <c:v>1.9672131147540983</c:v>
                </c:pt>
                <c:pt idx="171">
                  <c:v>2.0257826887661143</c:v>
                </c:pt>
                <c:pt idx="172">
                  <c:v>2.9649595687331538</c:v>
                </c:pt>
                <c:pt idx="173">
                  <c:v>3.1007751937984498</c:v>
                </c:pt>
                <c:pt idx="174">
                  <c:v>3.865979381443299</c:v>
                </c:pt>
                <c:pt idx="175">
                  <c:v>1.9801980198019802</c:v>
                </c:pt>
                <c:pt idx="176">
                  <c:v>2.0166073546856467</c:v>
                </c:pt>
                <c:pt idx="177">
                  <c:v>0.88719898605830161</c:v>
                </c:pt>
                <c:pt idx="178">
                  <c:v>1.733102253032929</c:v>
                </c:pt>
                <c:pt idx="179">
                  <c:v>1.8083182640144666</c:v>
                </c:pt>
                <c:pt idx="180">
                  <c:v>0.97357440890125169</c:v>
                </c:pt>
                <c:pt idx="181">
                  <c:v>1.7793594306049823</c:v>
                </c:pt>
              </c:numCache>
            </c:numRef>
          </c:yVal>
          <c:bubbleSize>
            <c:numRef>
              <c:f>'Дума партии'!$J$2:$J$184</c:f>
              <c:numCache>
                <c:formatCode>General</c:formatCode>
                <c:ptCount val="182"/>
                <c:pt idx="0">
                  <c:v>2451</c:v>
                </c:pt>
                <c:pt idx="1">
                  <c:v>1779</c:v>
                </c:pt>
                <c:pt idx="2">
                  <c:v>1942</c:v>
                </c:pt>
                <c:pt idx="3">
                  <c:v>2110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422</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2240</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1292</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290</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2226</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3017</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1-36CE-4AFB-9313-7A7B86C5B0D3}"/>
            </c:ext>
          </c:extLst>
        </c:ser>
        <c:ser>
          <c:idx val="10"/>
          <c:order val="2"/>
          <c:tx>
            <c:strRef>
              <c:f>'Дума партии'!$AF$1</c:f>
              <c:strCache>
                <c:ptCount val="1"/>
                <c:pt idx="0">
                  <c:v>ЛДПР</c:v>
                </c:pt>
              </c:strCache>
            </c:strRef>
          </c:tx>
          <c:spPr>
            <a:solidFill>
              <a:srgbClr val="FF9900">
                <a:alpha val="50196"/>
              </a:srgbClr>
            </a:solidFill>
            <a:ln w="25400">
              <a:noFill/>
            </a:ln>
            <a:effectLst/>
          </c:spPr>
          <c:invertIfNegative val="0"/>
          <c:xVal>
            <c:numRef>
              <c:f>'Дума партии'!$O$2:$O$184</c:f>
              <c:numCache>
                <c:formatCode>0.0</c:formatCode>
                <c:ptCount val="182"/>
                <c:pt idx="0">
                  <c:v>65.769073847409217</c:v>
                </c:pt>
                <c:pt idx="1">
                  <c:v>54.693648116919618</c:v>
                </c:pt>
                <c:pt idx="2">
                  <c:v>56.333676622039135</c:v>
                </c:pt>
                <c:pt idx="3">
                  <c:v>56.919431279620852</c:v>
                </c:pt>
                <c:pt idx="4">
                  <c:v>49.812130971551262</c:v>
                </c:pt>
                <c:pt idx="5">
                  <c:v>52.610030706243606</c:v>
                </c:pt>
                <c:pt idx="6">
                  <c:v>62.290927521540802</c:v>
                </c:pt>
                <c:pt idx="7">
                  <c:v>71.452328159645234</c:v>
                </c:pt>
                <c:pt idx="8">
                  <c:v>73.707753479125245</c:v>
                </c:pt>
                <c:pt idx="9">
                  <c:v>38.504037399065027</c:v>
                </c:pt>
                <c:pt idx="10">
                  <c:v>26.023778071334213</c:v>
                </c:pt>
                <c:pt idx="11">
                  <c:v>73.80952380952381</c:v>
                </c:pt>
                <c:pt idx="12">
                  <c:v>52.41128298453139</c:v>
                </c:pt>
                <c:pt idx="13">
                  <c:v>35.041666666666664</c:v>
                </c:pt>
                <c:pt idx="14">
                  <c:v>48.479868529170091</c:v>
                </c:pt>
                <c:pt idx="15">
                  <c:v>30.726256983240223</c:v>
                </c:pt>
                <c:pt idx="16">
                  <c:v>49.526066350710899</c:v>
                </c:pt>
                <c:pt idx="17">
                  <c:v>34.267413931144915</c:v>
                </c:pt>
                <c:pt idx="18">
                  <c:v>48.776223776223773</c:v>
                </c:pt>
                <c:pt idx="19">
                  <c:v>36.920222634508349</c:v>
                </c:pt>
                <c:pt idx="20">
                  <c:v>26.006528835690968</c:v>
                </c:pt>
                <c:pt idx="21">
                  <c:v>47.85954785954786</c:v>
                </c:pt>
                <c:pt idx="22">
                  <c:v>33.182844243792324</c:v>
                </c:pt>
                <c:pt idx="23">
                  <c:v>38.321342925659472</c:v>
                </c:pt>
                <c:pt idx="24">
                  <c:v>32.349052446011456</c:v>
                </c:pt>
                <c:pt idx="25">
                  <c:v>38.541666666666664</c:v>
                </c:pt>
                <c:pt idx="26">
                  <c:v>54.414682539682538</c:v>
                </c:pt>
                <c:pt idx="27">
                  <c:v>44.678111587982833</c:v>
                </c:pt>
                <c:pt idx="28">
                  <c:v>48.960216998191683</c:v>
                </c:pt>
                <c:pt idx="29">
                  <c:v>36.23435722411832</c:v>
                </c:pt>
                <c:pt idx="30">
                  <c:v>41.570026761819804</c:v>
                </c:pt>
                <c:pt idx="31">
                  <c:v>30.401785714285715</c:v>
                </c:pt>
                <c:pt idx="32">
                  <c:v>40.432098765432102</c:v>
                </c:pt>
                <c:pt idx="33">
                  <c:v>95.27145359019265</c:v>
                </c:pt>
                <c:pt idx="34">
                  <c:v>43.419689119170982</c:v>
                </c:pt>
                <c:pt idx="35">
                  <c:v>61.180952380952384</c:v>
                </c:pt>
                <c:pt idx="36">
                  <c:v>82.278481012658233</c:v>
                </c:pt>
                <c:pt idx="37">
                  <c:v>37.891440501043839</c:v>
                </c:pt>
                <c:pt idx="38">
                  <c:v>40.373395565927652</c:v>
                </c:pt>
                <c:pt idx="39">
                  <c:v>40.014164305949009</c:v>
                </c:pt>
                <c:pt idx="40">
                  <c:v>35.019646365422396</c:v>
                </c:pt>
                <c:pt idx="41">
                  <c:v>32.91592128801431</c:v>
                </c:pt>
                <c:pt idx="42">
                  <c:v>34.583952451708768</c:v>
                </c:pt>
                <c:pt idx="43">
                  <c:v>34.065460809646858</c:v>
                </c:pt>
                <c:pt idx="44">
                  <c:v>66.542133665421332</c:v>
                </c:pt>
                <c:pt idx="45">
                  <c:v>82.972136222910223</c:v>
                </c:pt>
                <c:pt idx="46">
                  <c:v>64.759725400457668</c:v>
                </c:pt>
                <c:pt idx="47">
                  <c:v>40.809968847352025</c:v>
                </c:pt>
                <c:pt idx="48">
                  <c:v>45.801033591731269</c:v>
                </c:pt>
                <c:pt idx="49">
                  <c:v>54.984354045596781</c:v>
                </c:pt>
                <c:pt idx="50">
                  <c:v>40.988835725677831</c:v>
                </c:pt>
                <c:pt idx="51">
                  <c:v>37.672465506898618</c:v>
                </c:pt>
                <c:pt idx="52">
                  <c:v>42.771804062126641</c:v>
                </c:pt>
                <c:pt idx="53">
                  <c:v>78.285714285714292</c:v>
                </c:pt>
                <c:pt idx="54">
                  <c:v>35.802469135802468</c:v>
                </c:pt>
                <c:pt idx="55">
                  <c:v>34.591626630061768</c:v>
                </c:pt>
                <c:pt idx="56">
                  <c:v>43.99198931909212</c:v>
                </c:pt>
                <c:pt idx="57">
                  <c:v>35.998498498498499</c:v>
                </c:pt>
                <c:pt idx="58">
                  <c:v>28.264758497316638</c:v>
                </c:pt>
                <c:pt idx="59">
                  <c:v>41.413753361505954</c:v>
                </c:pt>
                <c:pt idx="60">
                  <c:v>38.279830405814657</c:v>
                </c:pt>
                <c:pt idx="61">
                  <c:v>44.122298365840798</c:v>
                </c:pt>
                <c:pt idx="62">
                  <c:v>28.415841584158414</c:v>
                </c:pt>
                <c:pt idx="63">
                  <c:v>28.213166144200628</c:v>
                </c:pt>
                <c:pt idx="64">
                  <c:v>31.632653061224488</c:v>
                </c:pt>
                <c:pt idx="65">
                  <c:v>57.634902411021812</c:v>
                </c:pt>
                <c:pt idx="66">
                  <c:v>65.963431786216603</c:v>
                </c:pt>
                <c:pt idx="67">
                  <c:v>59.171597633136095</c:v>
                </c:pt>
                <c:pt idx="68">
                  <c:v>46.972972972972975</c:v>
                </c:pt>
                <c:pt idx="69">
                  <c:v>52.910330361824855</c:v>
                </c:pt>
                <c:pt idx="70">
                  <c:v>36.995153473344104</c:v>
                </c:pt>
                <c:pt idx="71">
                  <c:v>41.978609625668447</c:v>
                </c:pt>
                <c:pt idx="72">
                  <c:v>40.463576158940398</c:v>
                </c:pt>
                <c:pt idx="73">
                  <c:v>22.40990990990991</c:v>
                </c:pt>
                <c:pt idx="74">
                  <c:v>35.343511450381676</c:v>
                </c:pt>
                <c:pt idx="75">
                  <c:v>51.278195488721806</c:v>
                </c:pt>
                <c:pt idx="76">
                  <c:v>55.201177625122668</c:v>
                </c:pt>
                <c:pt idx="77">
                  <c:v>57.815126050420169</c:v>
                </c:pt>
                <c:pt idx="78">
                  <c:v>51.873767258382642</c:v>
                </c:pt>
                <c:pt idx="79">
                  <c:v>42.535211267605632</c:v>
                </c:pt>
                <c:pt idx="80">
                  <c:v>51.540983606557376</c:v>
                </c:pt>
                <c:pt idx="81">
                  <c:v>40.625</c:v>
                </c:pt>
                <c:pt idx="82">
                  <c:v>47.904811174340402</c:v>
                </c:pt>
                <c:pt idx="83">
                  <c:v>44.525904203323556</c:v>
                </c:pt>
                <c:pt idx="84">
                  <c:v>40.621336459554513</c:v>
                </c:pt>
                <c:pt idx="85">
                  <c:v>40.938416422287389</c:v>
                </c:pt>
                <c:pt idx="86">
                  <c:v>46.500981033355131</c:v>
                </c:pt>
                <c:pt idx="87">
                  <c:v>35.444444444444443</c:v>
                </c:pt>
                <c:pt idx="88">
                  <c:v>38.161993769470406</c:v>
                </c:pt>
                <c:pt idx="89">
                  <c:v>43.880142204164549</c:v>
                </c:pt>
                <c:pt idx="90">
                  <c:v>49.60753532182104</c:v>
                </c:pt>
                <c:pt idx="91">
                  <c:v>51.973284760170003</c:v>
                </c:pt>
                <c:pt idx="92">
                  <c:v>56.155015197568389</c:v>
                </c:pt>
                <c:pt idx="93">
                  <c:v>63.973344439816742</c:v>
                </c:pt>
                <c:pt idx="94">
                  <c:v>66.090611863615138</c:v>
                </c:pt>
                <c:pt idx="95">
                  <c:v>65.528455284552848</c:v>
                </c:pt>
                <c:pt idx="96">
                  <c:v>59.78142076502732</c:v>
                </c:pt>
                <c:pt idx="97">
                  <c:v>47.716799329702553</c:v>
                </c:pt>
                <c:pt idx="98">
                  <c:v>53.094462540716613</c:v>
                </c:pt>
                <c:pt idx="99">
                  <c:v>31.606805293005671</c:v>
                </c:pt>
                <c:pt idx="100">
                  <c:v>36.172295643661279</c:v>
                </c:pt>
                <c:pt idx="101">
                  <c:v>57.703081232492998</c:v>
                </c:pt>
                <c:pt idx="102">
                  <c:v>57.186234817813762</c:v>
                </c:pt>
                <c:pt idx="103">
                  <c:v>100</c:v>
                </c:pt>
                <c:pt idx="104">
                  <c:v>90.865384615384613</c:v>
                </c:pt>
                <c:pt idx="105">
                  <c:v>45.725760183591511</c:v>
                </c:pt>
                <c:pt idx="106">
                  <c:v>38.141592920353979</c:v>
                </c:pt>
                <c:pt idx="107">
                  <c:v>35.991379310344826</c:v>
                </c:pt>
                <c:pt idx="108">
                  <c:v>40.813135261923378</c:v>
                </c:pt>
                <c:pt idx="109">
                  <c:v>37.786561264822133</c:v>
                </c:pt>
                <c:pt idx="110">
                  <c:v>42.659279778393355</c:v>
                </c:pt>
                <c:pt idx="111">
                  <c:v>39.198131568703779</c:v>
                </c:pt>
                <c:pt idx="112">
                  <c:v>39.279869067103107</c:v>
                </c:pt>
                <c:pt idx="113">
                  <c:v>42.108890420399725</c:v>
                </c:pt>
                <c:pt idx="114">
                  <c:v>37.489609310058185</c:v>
                </c:pt>
                <c:pt idx="115">
                  <c:v>35.413899955732624</c:v>
                </c:pt>
                <c:pt idx="116">
                  <c:v>48.197955890263586</c:v>
                </c:pt>
                <c:pt idx="117">
                  <c:v>36.372360844529751</c:v>
                </c:pt>
                <c:pt idx="118">
                  <c:v>0</c:v>
                </c:pt>
                <c:pt idx="119">
                  <c:v>41.97530864197531</c:v>
                </c:pt>
                <c:pt idx="120">
                  <c:v>32.253711201079625</c:v>
                </c:pt>
                <c:pt idx="121">
                  <c:v>51.320918146383718</c:v>
                </c:pt>
                <c:pt idx="122">
                  <c:v>33.550325488232346</c:v>
                </c:pt>
                <c:pt idx="123">
                  <c:v>35.837864557587743</c:v>
                </c:pt>
                <c:pt idx="124">
                  <c:v>43.203883495145632</c:v>
                </c:pt>
                <c:pt idx="125">
                  <c:v>40.560640732265448</c:v>
                </c:pt>
                <c:pt idx="126">
                  <c:v>36.066288704753596</c:v>
                </c:pt>
                <c:pt idx="127">
                  <c:v>34.057301293900181</c:v>
                </c:pt>
                <c:pt idx="128">
                  <c:v>36.285858077503775</c:v>
                </c:pt>
                <c:pt idx="129">
                  <c:v>42.036753445635526</c:v>
                </c:pt>
                <c:pt idx="130">
                  <c:v>70.199587061252586</c:v>
                </c:pt>
                <c:pt idx="131">
                  <c:v>31.971465629053178</c:v>
                </c:pt>
                <c:pt idx="132">
                  <c:v>35.394021739130437</c:v>
                </c:pt>
                <c:pt idx="133">
                  <c:v>35.140700068634182</c:v>
                </c:pt>
                <c:pt idx="134">
                  <c:v>29.351351351351351</c:v>
                </c:pt>
                <c:pt idx="135">
                  <c:v>42.471590909090907</c:v>
                </c:pt>
                <c:pt idx="136">
                  <c:v>55.265700483091784</c:v>
                </c:pt>
                <c:pt idx="137">
                  <c:v>51.10526315789474</c:v>
                </c:pt>
                <c:pt idx="138">
                  <c:v>36.855895196506552</c:v>
                </c:pt>
                <c:pt idx="139">
                  <c:v>34.820209376422397</c:v>
                </c:pt>
                <c:pt idx="140">
                  <c:v>69.944444444444443</c:v>
                </c:pt>
                <c:pt idx="141">
                  <c:v>33.010156971375807</c:v>
                </c:pt>
                <c:pt idx="142">
                  <c:v>40.26290165530672</c:v>
                </c:pt>
                <c:pt idx="143">
                  <c:v>38.359412043622569</c:v>
                </c:pt>
                <c:pt idx="144">
                  <c:v>30.732484076433121</c:v>
                </c:pt>
                <c:pt idx="145">
                  <c:v>37.028301886792455</c:v>
                </c:pt>
                <c:pt idx="146">
                  <c:v>35.288367546432063</c:v>
                </c:pt>
                <c:pt idx="147">
                  <c:v>34.275248560962844</c:v>
                </c:pt>
                <c:pt idx="148">
                  <c:v>38.125802310654684</c:v>
                </c:pt>
                <c:pt idx="149">
                  <c:v>40.745732255166217</c:v>
                </c:pt>
                <c:pt idx="150">
                  <c:v>27.971233913701742</c:v>
                </c:pt>
                <c:pt idx="151">
                  <c:v>28.618602091359385</c:v>
                </c:pt>
                <c:pt idx="152">
                  <c:v>32.336255801959773</c:v>
                </c:pt>
                <c:pt idx="153">
                  <c:v>24.444444444444443</c:v>
                </c:pt>
                <c:pt idx="154">
                  <c:v>28.796498905908095</c:v>
                </c:pt>
                <c:pt idx="155">
                  <c:v>28.420227361818895</c:v>
                </c:pt>
                <c:pt idx="156">
                  <c:v>33.021390374331553</c:v>
                </c:pt>
                <c:pt idx="157">
                  <c:v>53.324468085106382</c:v>
                </c:pt>
                <c:pt idx="158">
                  <c:v>48.549810844892811</c:v>
                </c:pt>
                <c:pt idx="159">
                  <c:v>32.177931831311383</c:v>
                </c:pt>
                <c:pt idx="160">
                  <c:v>44.659300184162063</c:v>
                </c:pt>
                <c:pt idx="161">
                  <c:v>28.372555518727211</c:v>
                </c:pt>
                <c:pt idx="162">
                  <c:v>26.083707025411062</c:v>
                </c:pt>
                <c:pt idx="163">
                  <c:v>27.099236641221374</c:v>
                </c:pt>
                <c:pt idx="164">
                  <c:v>29.520795660036168</c:v>
                </c:pt>
                <c:pt idx="165">
                  <c:v>26.91194708557255</c:v>
                </c:pt>
                <c:pt idx="166">
                  <c:v>22.96983758700696</c:v>
                </c:pt>
                <c:pt idx="167">
                  <c:v>23.950826621449767</c:v>
                </c:pt>
                <c:pt idx="168">
                  <c:v>26.504394861392832</c:v>
                </c:pt>
                <c:pt idx="169">
                  <c:v>22.563417890520693</c:v>
                </c:pt>
                <c:pt idx="170">
                  <c:v>22.906496432594817</c:v>
                </c:pt>
                <c:pt idx="171">
                  <c:v>42.521534847298355</c:v>
                </c:pt>
                <c:pt idx="172">
                  <c:v>34.256694367497694</c:v>
                </c:pt>
                <c:pt idx="173">
                  <c:v>31.412337662337663</c:v>
                </c:pt>
                <c:pt idx="174">
                  <c:v>37.596899224806201</c:v>
                </c:pt>
                <c:pt idx="175">
                  <c:v>35.335276967930028</c:v>
                </c:pt>
                <c:pt idx="176">
                  <c:v>49.561146869514339</c:v>
                </c:pt>
                <c:pt idx="177">
                  <c:v>64.645637034002462</c:v>
                </c:pt>
                <c:pt idx="178">
                  <c:v>31.949058693244741</c:v>
                </c:pt>
                <c:pt idx="179">
                  <c:v>42.149390243902438</c:v>
                </c:pt>
                <c:pt idx="180">
                  <c:v>43.365500603136311</c:v>
                </c:pt>
                <c:pt idx="181">
                  <c:v>26.360225140712945</c:v>
                </c:pt>
              </c:numCache>
            </c:numRef>
          </c:xVal>
          <c:yVal>
            <c:numRef>
              <c:f>'Дума партии'!$AF$2:$AF$184</c:f>
              <c:numCache>
                <c:formatCode>0.0</c:formatCode>
                <c:ptCount val="182"/>
                <c:pt idx="0">
                  <c:v>7.4441687344913152</c:v>
                </c:pt>
                <c:pt idx="1">
                  <c:v>4.5314109165808443</c:v>
                </c:pt>
                <c:pt idx="2">
                  <c:v>1.7383348581884721</c:v>
                </c:pt>
                <c:pt idx="3">
                  <c:v>4.0100250626566414</c:v>
                </c:pt>
                <c:pt idx="4">
                  <c:v>8.639308855291576</c:v>
                </c:pt>
                <c:pt idx="5">
                  <c:v>6.660137120470127</c:v>
                </c:pt>
                <c:pt idx="6">
                  <c:v>10.773480662983426</c:v>
                </c:pt>
                <c:pt idx="7">
                  <c:v>3.9093041438623923</c:v>
                </c:pt>
                <c:pt idx="8">
                  <c:v>4.5178691840863117</c:v>
                </c:pt>
                <c:pt idx="9">
                  <c:v>7.3578595317725757</c:v>
                </c:pt>
                <c:pt idx="10">
                  <c:v>7.1065989847715736</c:v>
                </c:pt>
                <c:pt idx="11">
                  <c:v>3.3794162826420893</c:v>
                </c:pt>
                <c:pt idx="12">
                  <c:v>6.5972222222222223</c:v>
                </c:pt>
                <c:pt idx="13">
                  <c:v>7.2532699167657553</c:v>
                </c:pt>
                <c:pt idx="14">
                  <c:v>4.7457627118644066</c:v>
                </c:pt>
                <c:pt idx="15">
                  <c:v>8.4297520661157019</c:v>
                </c:pt>
                <c:pt idx="16">
                  <c:v>13.875598086124402</c:v>
                </c:pt>
                <c:pt idx="17">
                  <c:v>8.293838862559241</c:v>
                </c:pt>
                <c:pt idx="18">
                  <c:v>7.6463560334528076</c:v>
                </c:pt>
                <c:pt idx="19">
                  <c:v>8.7701612903225801</c:v>
                </c:pt>
                <c:pt idx="20">
                  <c:v>7.7405857740585775</c:v>
                </c:pt>
                <c:pt idx="21">
                  <c:v>7.6381909547738696</c:v>
                </c:pt>
                <c:pt idx="22">
                  <c:v>7.9019073569482288</c:v>
                </c:pt>
                <c:pt idx="23">
                  <c:v>9.6370463078848569</c:v>
                </c:pt>
                <c:pt idx="24">
                  <c:v>10.807113543091655</c:v>
                </c:pt>
                <c:pt idx="25">
                  <c:v>6.2653562653562656</c:v>
                </c:pt>
                <c:pt idx="26">
                  <c:v>5.3783044667274389</c:v>
                </c:pt>
                <c:pt idx="27">
                  <c:v>8.7463556851311957</c:v>
                </c:pt>
                <c:pt idx="28">
                  <c:v>5.9149722735674679</c:v>
                </c:pt>
                <c:pt idx="29">
                  <c:v>7.0643642072213497</c:v>
                </c:pt>
                <c:pt idx="30">
                  <c:v>8.1545064377682408</c:v>
                </c:pt>
                <c:pt idx="31">
                  <c:v>8.3700440528634363</c:v>
                </c:pt>
                <c:pt idx="32">
                  <c:v>4.770992366412214</c:v>
                </c:pt>
                <c:pt idx="33">
                  <c:v>8.8397790055248624</c:v>
                </c:pt>
                <c:pt idx="34">
                  <c:v>4.0572792362768499</c:v>
                </c:pt>
                <c:pt idx="35">
                  <c:v>5.3549190535491906</c:v>
                </c:pt>
                <c:pt idx="36">
                  <c:v>4.395604395604396</c:v>
                </c:pt>
                <c:pt idx="37">
                  <c:v>7.9889807162534439</c:v>
                </c:pt>
                <c:pt idx="38">
                  <c:v>4.0462427745664744</c:v>
                </c:pt>
                <c:pt idx="39">
                  <c:v>9.0265486725663724</c:v>
                </c:pt>
                <c:pt idx="40">
                  <c:v>7.296137339055794</c:v>
                </c:pt>
                <c:pt idx="41">
                  <c:v>7.0652173913043477</c:v>
                </c:pt>
                <c:pt idx="42">
                  <c:v>6.7669172932330826</c:v>
                </c:pt>
                <c:pt idx="43">
                  <c:v>6.0682680151706698</c:v>
                </c:pt>
                <c:pt idx="44">
                  <c:v>2.2471910112359552</c:v>
                </c:pt>
                <c:pt idx="45">
                  <c:v>2.8063610851262863</c:v>
                </c:pt>
                <c:pt idx="46">
                  <c:v>7.4204946996466434</c:v>
                </c:pt>
                <c:pt idx="47">
                  <c:v>10.381679389312977</c:v>
                </c:pt>
                <c:pt idx="48">
                  <c:v>8.0394922425952053</c:v>
                </c:pt>
                <c:pt idx="49">
                  <c:v>5.4320987654320989</c:v>
                </c:pt>
                <c:pt idx="50">
                  <c:v>8.8197146562905324</c:v>
                </c:pt>
                <c:pt idx="51">
                  <c:v>10.828025477707007</c:v>
                </c:pt>
                <c:pt idx="52">
                  <c:v>7.960893854748603</c:v>
                </c:pt>
                <c:pt idx="53">
                  <c:v>6.8126520681265204</c:v>
                </c:pt>
                <c:pt idx="54">
                  <c:v>6.8965517241379306</c:v>
                </c:pt>
                <c:pt idx="55">
                  <c:v>7.5396825396825395</c:v>
                </c:pt>
                <c:pt idx="56">
                  <c:v>4.8558421851289832</c:v>
                </c:pt>
                <c:pt idx="57">
                  <c:v>7.2992700729927007</c:v>
                </c:pt>
                <c:pt idx="58">
                  <c:v>5.0632911392405067</c:v>
                </c:pt>
                <c:pt idx="59">
                  <c:v>7.8849721706864564</c:v>
                </c:pt>
                <c:pt idx="60">
                  <c:v>6.3291139240506329</c:v>
                </c:pt>
                <c:pt idx="61">
                  <c:v>5.6152927120669061</c:v>
                </c:pt>
                <c:pt idx="62">
                  <c:v>8.0139372822299659</c:v>
                </c:pt>
                <c:pt idx="63">
                  <c:v>6.1111111111111107</c:v>
                </c:pt>
                <c:pt idx="64">
                  <c:v>4.946236559139785</c:v>
                </c:pt>
                <c:pt idx="65">
                  <c:v>8.764940239043824</c:v>
                </c:pt>
                <c:pt idx="66">
                  <c:v>9.3816631130063968</c:v>
                </c:pt>
                <c:pt idx="67">
                  <c:v>8.25</c:v>
                </c:pt>
                <c:pt idx="68">
                  <c:v>10.277136258660509</c:v>
                </c:pt>
                <c:pt idx="69">
                  <c:v>10.20812685827552</c:v>
                </c:pt>
                <c:pt idx="70">
                  <c:v>6.1135371179039302</c:v>
                </c:pt>
                <c:pt idx="71">
                  <c:v>12.76595744680851</c:v>
                </c:pt>
                <c:pt idx="72">
                  <c:v>8.8039867109634553</c:v>
                </c:pt>
                <c:pt idx="73">
                  <c:v>7.0351758793969852</c:v>
                </c:pt>
                <c:pt idx="74">
                  <c:v>9.9352051835853139</c:v>
                </c:pt>
                <c:pt idx="75">
                  <c:v>6.4516129032258061</c:v>
                </c:pt>
                <c:pt idx="76">
                  <c:v>8.8078291814946628</c:v>
                </c:pt>
                <c:pt idx="77">
                  <c:v>7.2115384615384617</c:v>
                </c:pt>
                <c:pt idx="78">
                  <c:v>9.2639593908629436</c:v>
                </c:pt>
                <c:pt idx="79">
                  <c:v>10.596026490066226</c:v>
                </c:pt>
                <c:pt idx="80">
                  <c:v>7.5063613231552164</c:v>
                </c:pt>
                <c:pt idx="81">
                  <c:v>8.1939799331103682</c:v>
                </c:pt>
                <c:pt idx="82">
                  <c:v>11.183496199782844</c:v>
                </c:pt>
                <c:pt idx="83">
                  <c:v>10.428100987925356</c:v>
                </c:pt>
                <c:pt idx="84">
                  <c:v>8.8023088023088025</c:v>
                </c:pt>
                <c:pt idx="85">
                  <c:v>8.8825214899713458</c:v>
                </c:pt>
                <c:pt idx="86">
                  <c:v>10.40787623066104</c:v>
                </c:pt>
                <c:pt idx="87">
                  <c:v>6.4263322884012535</c:v>
                </c:pt>
                <c:pt idx="88">
                  <c:v>7.2780203784570601</c:v>
                </c:pt>
                <c:pt idx="89">
                  <c:v>6.25</c:v>
                </c:pt>
                <c:pt idx="90">
                  <c:v>5.1687763713080166</c:v>
                </c:pt>
                <c:pt idx="91">
                  <c:v>6.3084112149532707</c:v>
                </c:pt>
                <c:pt idx="92">
                  <c:v>4.8714479025710418</c:v>
                </c:pt>
                <c:pt idx="93">
                  <c:v>4.4921875</c:v>
                </c:pt>
                <c:pt idx="94">
                  <c:v>2.264685067232838</c:v>
                </c:pt>
                <c:pt idx="95">
                  <c:v>8.7074829931972797</c:v>
                </c:pt>
                <c:pt idx="96">
                  <c:v>10.237659963436929</c:v>
                </c:pt>
                <c:pt idx="97">
                  <c:v>4.9165935030728711</c:v>
                </c:pt>
                <c:pt idx="98">
                  <c:v>3.5582822085889569</c:v>
                </c:pt>
                <c:pt idx="99">
                  <c:v>8.8516746411483247</c:v>
                </c:pt>
                <c:pt idx="100">
                  <c:v>8.2543978349120426</c:v>
                </c:pt>
                <c:pt idx="101">
                  <c:v>9.4262295081967213</c:v>
                </c:pt>
                <c:pt idx="102">
                  <c:v>9.3805309734513269</c:v>
                </c:pt>
                <c:pt idx="103">
                  <c:v>2.4137931034482758</c:v>
                </c:pt>
                <c:pt idx="104">
                  <c:v>14.516129032258064</c:v>
                </c:pt>
                <c:pt idx="105">
                  <c:v>7.6537013801756588</c:v>
                </c:pt>
                <c:pt idx="106">
                  <c:v>7.6566125290023201</c:v>
                </c:pt>
                <c:pt idx="107">
                  <c:v>8.9820359281437128</c:v>
                </c:pt>
                <c:pt idx="108">
                  <c:v>7.5728155339805827</c:v>
                </c:pt>
                <c:pt idx="109">
                  <c:v>6.9037656903765692</c:v>
                </c:pt>
                <c:pt idx="110">
                  <c:v>8.0753701211305522</c:v>
                </c:pt>
                <c:pt idx="111">
                  <c:v>5.9067357512953365</c:v>
                </c:pt>
                <c:pt idx="112">
                  <c:v>5.416666666666667</c:v>
                </c:pt>
                <c:pt idx="113">
                  <c:v>7.0376432078559734</c:v>
                </c:pt>
                <c:pt idx="114">
                  <c:v>6.9042316258351892</c:v>
                </c:pt>
                <c:pt idx="115">
                  <c:v>8.3854818523153938</c:v>
                </c:pt>
                <c:pt idx="116">
                  <c:v>7.7441077441077439</c:v>
                </c:pt>
                <c:pt idx="117">
                  <c:v>6.7282321899736148</c:v>
                </c:pt>
                <c:pt idx="118">
                  <c:v>0</c:v>
                </c:pt>
                <c:pt idx="119">
                  <c:v>8.7340529931305202</c:v>
                </c:pt>
                <c:pt idx="120">
                  <c:v>8.6471408647140873</c:v>
                </c:pt>
                <c:pt idx="121">
                  <c:v>5.4008438818565399</c:v>
                </c:pt>
                <c:pt idx="122">
                  <c:v>7.4626865671641793</c:v>
                </c:pt>
                <c:pt idx="123">
                  <c:v>8.0555555555555554</c:v>
                </c:pt>
                <c:pt idx="124">
                  <c:v>6.1576354679802954</c:v>
                </c:pt>
                <c:pt idx="125">
                  <c:v>7.2033898305084749</c:v>
                </c:pt>
                <c:pt idx="126">
                  <c:v>7.1342200725513907</c:v>
                </c:pt>
                <c:pt idx="127">
                  <c:v>5.9701492537313436</c:v>
                </c:pt>
                <c:pt idx="128">
                  <c:v>4.438280166435506</c:v>
                </c:pt>
                <c:pt idx="129">
                  <c:v>7.6502732240437155</c:v>
                </c:pt>
                <c:pt idx="130">
                  <c:v>6.7915690866510543</c:v>
                </c:pt>
                <c:pt idx="131">
                  <c:v>5.882352941176471</c:v>
                </c:pt>
                <c:pt idx="132">
                  <c:v>5.9500959692898272</c:v>
                </c:pt>
                <c:pt idx="133">
                  <c:v>8.3984375</c:v>
                </c:pt>
                <c:pt idx="134">
                  <c:v>6.9981583793738489</c:v>
                </c:pt>
                <c:pt idx="135">
                  <c:v>9.0301003344481607</c:v>
                </c:pt>
                <c:pt idx="136">
                  <c:v>7.1678321678321675</c:v>
                </c:pt>
                <c:pt idx="137">
                  <c:v>6.1855670103092786</c:v>
                </c:pt>
                <c:pt idx="138">
                  <c:v>7.8358208955223878</c:v>
                </c:pt>
                <c:pt idx="139">
                  <c:v>8.6274509803921564</c:v>
                </c:pt>
                <c:pt idx="140">
                  <c:v>7.9428117553613981E-2</c:v>
                </c:pt>
                <c:pt idx="141">
                  <c:v>9.2307692307692299</c:v>
                </c:pt>
                <c:pt idx="142">
                  <c:v>9.6654275092936803</c:v>
                </c:pt>
                <c:pt idx="143">
                  <c:v>8.4635416666666661</c:v>
                </c:pt>
                <c:pt idx="144">
                  <c:v>11.658031088082902</c:v>
                </c:pt>
                <c:pt idx="145">
                  <c:v>5.7569296375266523</c:v>
                </c:pt>
                <c:pt idx="146">
                  <c:v>5.2631578947368425</c:v>
                </c:pt>
                <c:pt idx="147">
                  <c:v>9.1603053435114496</c:v>
                </c:pt>
                <c:pt idx="148">
                  <c:v>9.4808126410835207</c:v>
                </c:pt>
                <c:pt idx="149">
                  <c:v>5.9734513274336285</c:v>
                </c:pt>
                <c:pt idx="150">
                  <c:v>7.1718538565629233</c:v>
                </c:pt>
                <c:pt idx="151">
                  <c:v>7.115384615384615</c:v>
                </c:pt>
                <c:pt idx="152">
                  <c:v>6.2200956937799043</c:v>
                </c:pt>
                <c:pt idx="153">
                  <c:v>9.0909090909090917</c:v>
                </c:pt>
                <c:pt idx="154">
                  <c:v>7.9027355623100304</c:v>
                </c:pt>
                <c:pt idx="155">
                  <c:v>6.6206896551724137</c:v>
                </c:pt>
                <c:pt idx="156">
                  <c:v>5.0607287449392713</c:v>
                </c:pt>
                <c:pt idx="157">
                  <c:v>7.2319201995012472</c:v>
                </c:pt>
                <c:pt idx="158">
                  <c:v>9.7112860892388451</c:v>
                </c:pt>
                <c:pt idx="159">
                  <c:v>5.2727272727272725</c:v>
                </c:pt>
                <c:pt idx="160">
                  <c:v>6.1855670103092786</c:v>
                </c:pt>
                <c:pt idx="161">
                  <c:v>6.0818713450292394</c:v>
                </c:pt>
                <c:pt idx="162">
                  <c:v>6.303724928366762</c:v>
                </c:pt>
                <c:pt idx="163">
                  <c:v>8.4507042253521121</c:v>
                </c:pt>
                <c:pt idx="164">
                  <c:v>7.5038284839203673</c:v>
                </c:pt>
                <c:pt idx="165">
                  <c:v>5.2227342549923197</c:v>
                </c:pt>
                <c:pt idx="166">
                  <c:v>6.6937119675456387</c:v>
                </c:pt>
                <c:pt idx="167">
                  <c:v>5.5160142348754446</c:v>
                </c:pt>
                <c:pt idx="168">
                  <c:v>8.8010204081632661</c:v>
                </c:pt>
                <c:pt idx="169">
                  <c:v>1.8633540372670807</c:v>
                </c:pt>
                <c:pt idx="170">
                  <c:v>6.721311475409836</c:v>
                </c:pt>
                <c:pt idx="171">
                  <c:v>5.70902394106814</c:v>
                </c:pt>
                <c:pt idx="172">
                  <c:v>5.3908355795148246</c:v>
                </c:pt>
                <c:pt idx="173">
                  <c:v>8.0103359173126609</c:v>
                </c:pt>
                <c:pt idx="174">
                  <c:v>5.927835051546392</c:v>
                </c:pt>
                <c:pt idx="175">
                  <c:v>7.2607260726072607</c:v>
                </c:pt>
                <c:pt idx="176">
                  <c:v>6.0498220640569391</c:v>
                </c:pt>
                <c:pt idx="177">
                  <c:v>3.1051964512040557</c:v>
                </c:pt>
                <c:pt idx="178">
                  <c:v>6.4124783362218372</c:v>
                </c:pt>
                <c:pt idx="179">
                  <c:v>4.5207956600361667</c:v>
                </c:pt>
                <c:pt idx="180">
                  <c:v>4.4506258692628649</c:v>
                </c:pt>
                <c:pt idx="181">
                  <c:v>6.4056939501779357</c:v>
                </c:pt>
              </c:numCache>
            </c:numRef>
          </c:yVal>
          <c:bubbleSize>
            <c:numRef>
              <c:f>'Дума партии'!$J$2:$J$184</c:f>
              <c:numCache>
                <c:formatCode>General</c:formatCode>
                <c:ptCount val="182"/>
                <c:pt idx="0">
                  <c:v>2451</c:v>
                </c:pt>
                <c:pt idx="1">
                  <c:v>1779</c:v>
                </c:pt>
                <c:pt idx="2">
                  <c:v>1942</c:v>
                </c:pt>
                <c:pt idx="3">
                  <c:v>2110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422</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2240</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1292</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290</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2226</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3017</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2-36CE-4AFB-9313-7A7B86C5B0D3}"/>
            </c:ext>
          </c:extLst>
        </c:ser>
        <c:ser>
          <c:idx val="11"/>
          <c:order val="3"/>
          <c:tx>
            <c:strRef>
              <c:f>'Дума партии'!$AH$1</c:f>
              <c:strCache>
                <c:ptCount val="1"/>
                <c:pt idx="0">
                  <c:v>Новые люди</c:v>
                </c:pt>
              </c:strCache>
            </c:strRef>
          </c:tx>
          <c:spPr>
            <a:solidFill>
              <a:srgbClr val="00FFFF">
                <a:alpha val="50000"/>
              </a:srgbClr>
            </a:solidFill>
            <a:ln w="25400">
              <a:noFill/>
            </a:ln>
            <a:effectLst/>
          </c:spPr>
          <c:invertIfNegative val="0"/>
          <c:xVal>
            <c:numRef>
              <c:f>'Дума партии'!$O$2:$O$184</c:f>
              <c:numCache>
                <c:formatCode>0.0</c:formatCode>
                <c:ptCount val="182"/>
                <c:pt idx="0">
                  <c:v>65.769073847409217</c:v>
                </c:pt>
                <c:pt idx="1">
                  <c:v>54.693648116919618</c:v>
                </c:pt>
                <c:pt idx="2">
                  <c:v>56.333676622039135</c:v>
                </c:pt>
                <c:pt idx="3">
                  <c:v>56.919431279620852</c:v>
                </c:pt>
                <c:pt idx="4">
                  <c:v>49.812130971551262</c:v>
                </c:pt>
                <c:pt idx="5">
                  <c:v>52.610030706243606</c:v>
                </c:pt>
                <c:pt idx="6">
                  <c:v>62.290927521540802</c:v>
                </c:pt>
                <c:pt idx="7">
                  <c:v>71.452328159645234</c:v>
                </c:pt>
                <c:pt idx="8">
                  <c:v>73.707753479125245</c:v>
                </c:pt>
                <c:pt idx="9">
                  <c:v>38.504037399065027</c:v>
                </c:pt>
                <c:pt idx="10">
                  <c:v>26.023778071334213</c:v>
                </c:pt>
                <c:pt idx="11">
                  <c:v>73.80952380952381</c:v>
                </c:pt>
                <c:pt idx="12">
                  <c:v>52.41128298453139</c:v>
                </c:pt>
                <c:pt idx="13">
                  <c:v>35.041666666666664</c:v>
                </c:pt>
                <c:pt idx="14">
                  <c:v>48.479868529170091</c:v>
                </c:pt>
                <c:pt idx="15">
                  <c:v>30.726256983240223</c:v>
                </c:pt>
                <c:pt idx="16">
                  <c:v>49.526066350710899</c:v>
                </c:pt>
                <c:pt idx="17">
                  <c:v>34.267413931144915</c:v>
                </c:pt>
                <c:pt idx="18">
                  <c:v>48.776223776223773</c:v>
                </c:pt>
                <c:pt idx="19">
                  <c:v>36.920222634508349</c:v>
                </c:pt>
                <c:pt idx="20">
                  <c:v>26.006528835690968</c:v>
                </c:pt>
                <c:pt idx="21">
                  <c:v>47.85954785954786</c:v>
                </c:pt>
                <c:pt idx="22">
                  <c:v>33.182844243792324</c:v>
                </c:pt>
                <c:pt idx="23">
                  <c:v>38.321342925659472</c:v>
                </c:pt>
                <c:pt idx="24">
                  <c:v>32.349052446011456</c:v>
                </c:pt>
                <c:pt idx="25">
                  <c:v>38.541666666666664</c:v>
                </c:pt>
                <c:pt idx="26">
                  <c:v>54.414682539682538</c:v>
                </c:pt>
                <c:pt idx="27">
                  <c:v>44.678111587982833</c:v>
                </c:pt>
                <c:pt idx="28">
                  <c:v>48.960216998191683</c:v>
                </c:pt>
                <c:pt idx="29">
                  <c:v>36.23435722411832</c:v>
                </c:pt>
                <c:pt idx="30">
                  <c:v>41.570026761819804</c:v>
                </c:pt>
                <c:pt idx="31">
                  <c:v>30.401785714285715</c:v>
                </c:pt>
                <c:pt idx="32">
                  <c:v>40.432098765432102</c:v>
                </c:pt>
                <c:pt idx="33">
                  <c:v>95.27145359019265</c:v>
                </c:pt>
                <c:pt idx="34">
                  <c:v>43.419689119170982</c:v>
                </c:pt>
                <c:pt idx="35">
                  <c:v>61.180952380952384</c:v>
                </c:pt>
                <c:pt idx="36">
                  <c:v>82.278481012658233</c:v>
                </c:pt>
                <c:pt idx="37">
                  <c:v>37.891440501043839</c:v>
                </c:pt>
                <c:pt idx="38">
                  <c:v>40.373395565927652</c:v>
                </c:pt>
                <c:pt idx="39">
                  <c:v>40.014164305949009</c:v>
                </c:pt>
                <c:pt idx="40">
                  <c:v>35.019646365422396</c:v>
                </c:pt>
                <c:pt idx="41">
                  <c:v>32.91592128801431</c:v>
                </c:pt>
                <c:pt idx="42">
                  <c:v>34.583952451708768</c:v>
                </c:pt>
                <c:pt idx="43">
                  <c:v>34.065460809646858</c:v>
                </c:pt>
                <c:pt idx="44">
                  <c:v>66.542133665421332</c:v>
                </c:pt>
                <c:pt idx="45">
                  <c:v>82.972136222910223</c:v>
                </c:pt>
                <c:pt idx="46">
                  <c:v>64.759725400457668</c:v>
                </c:pt>
                <c:pt idx="47">
                  <c:v>40.809968847352025</c:v>
                </c:pt>
                <c:pt idx="48">
                  <c:v>45.801033591731269</c:v>
                </c:pt>
                <c:pt idx="49">
                  <c:v>54.984354045596781</c:v>
                </c:pt>
                <c:pt idx="50">
                  <c:v>40.988835725677831</c:v>
                </c:pt>
                <c:pt idx="51">
                  <c:v>37.672465506898618</c:v>
                </c:pt>
                <c:pt idx="52">
                  <c:v>42.771804062126641</c:v>
                </c:pt>
                <c:pt idx="53">
                  <c:v>78.285714285714292</c:v>
                </c:pt>
                <c:pt idx="54">
                  <c:v>35.802469135802468</c:v>
                </c:pt>
                <c:pt idx="55">
                  <c:v>34.591626630061768</c:v>
                </c:pt>
                <c:pt idx="56">
                  <c:v>43.99198931909212</c:v>
                </c:pt>
                <c:pt idx="57">
                  <c:v>35.998498498498499</c:v>
                </c:pt>
                <c:pt idx="58">
                  <c:v>28.264758497316638</c:v>
                </c:pt>
                <c:pt idx="59">
                  <c:v>41.413753361505954</c:v>
                </c:pt>
                <c:pt idx="60">
                  <c:v>38.279830405814657</c:v>
                </c:pt>
                <c:pt idx="61">
                  <c:v>44.122298365840798</c:v>
                </c:pt>
                <c:pt idx="62">
                  <c:v>28.415841584158414</c:v>
                </c:pt>
                <c:pt idx="63">
                  <c:v>28.213166144200628</c:v>
                </c:pt>
                <c:pt idx="64">
                  <c:v>31.632653061224488</c:v>
                </c:pt>
                <c:pt idx="65">
                  <c:v>57.634902411021812</c:v>
                </c:pt>
                <c:pt idx="66">
                  <c:v>65.963431786216603</c:v>
                </c:pt>
                <c:pt idx="67">
                  <c:v>59.171597633136095</c:v>
                </c:pt>
                <c:pt idx="68">
                  <c:v>46.972972972972975</c:v>
                </c:pt>
                <c:pt idx="69">
                  <c:v>52.910330361824855</c:v>
                </c:pt>
                <c:pt idx="70">
                  <c:v>36.995153473344104</c:v>
                </c:pt>
                <c:pt idx="71">
                  <c:v>41.978609625668447</c:v>
                </c:pt>
                <c:pt idx="72">
                  <c:v>40.463576158940398</c:v>
                </c:pt>
                <c:pt idx="73">
                  <c:v>22.40990990990991</c:v>
                </c:pt>
                <c:pt idx="74">
                  <c:v>35.343511450381676</c:v>
                </c:pt>
                <c:pt idx="75">
                  <c:v>51.278195488721806</c:v>
                </c:pt>
                <c:pt idx="76">
                  <c:v>55.201177625122668</c:v>
                </c:pt>
                <c:pt idx="77">
                  <c:v>57.815126050420169</c:v>
                </c:pt>
                <c:pt idx="78">
                  <c:v>51.873767258382642</c:v>
                </c:pt>
                <c:pt idx="79">
                  <c:v>42.535211267605632</c:v>
                </c:pt>
                <c:pt idx="80">
                  <c:v>51.540983606557376</c:v>
                </c:pt>
                <c:pt idx="81">
                  <c:v>40.625</c:v>
                </c:pt>
                <c:pt idx="82">
                  <c:v>47.904811174340402</c:v>
                </c:pt>
                <c:pt idx="83">
                  <c:v>44.525904203323556</c:v>
                </c:pt>
                <c:pt idx="84">
                  <c:v>40.621336459554513</c:v>
                </c:pt>
                <c:pt idx="85">
                  <c:v>40.938416422287389</c:v>
                </c:pt>
                <c:pt idx="86">
                  <c:v>46.500981033355131</c:v>
                </c:pt>
                <c:pt idx="87">
                  <c:v>35.444444444444443</c:v>
                </c:pt>
                <c:pt idx="88">
                  <c:v>38.161993769470406</c:v>
                </c:pt>
                <c:pt idx="89">
                  <c:v>43.880142204164549</c:v>
                </c:pt>
                <c:pt idx="90">
                  <c:v>49.60753532182104</c:v>
                </c:pt>
                <c:pt idx="91">
                  <c:v>51.973284760170003</c:v>
                </c:pt>
                <c:pt idx="92">
                  <c:v>56.155015197568389</c:v>
                </c:pt>
                <c:pt idx="93">
                  <c:v>63.973344439816742</c:v>
                </c:pt>
                <c:pt idx="94">
                  <c:v>66.090611863615138</c:v>
                </c:pt>
                <c:pt idx="95">
                  <c:v>65.528455284552848</c:v>
                </c:pt>
                <c:pt idx="96">
                  <c:v>59.78142076502732</c:v>
                </c:pt>
                <c:pt idx="97">
                  <c:v>47.716799329702553</c:v>
                </c:pt>
                <c:pt idx="98">
                  <c:v>53.094462540716613</c:v>
                </c:pt>
                <c:pt idx="99">
                  <c:v>31.606805293005671</c:v>
                </c:pt>
                <c:pt idx="100">
                  <c:v>36.172295643661279</c:v>
                </c:pt>
                <c:pt idx="101">
                  <c:v>57.703081232492998</c:v>
                </c:pt>
                <c:pt idx="102">
                  <c:v>57.186234817813762</c:v>
                </c:pt>
                <c:pt idx="103">
                  <c:v>100</c:v>
                </c:pt>
                <c:pt idx="104">
                  <c:v>90.865384615384613</c:v>
                </c:pt>
                <c:pt idx="105">
                  <c:v>45.725760183591511</c:v>
                </c:pt>
                <c:pt idx="106">
                  <c:v>38.141592920353979</c:v>
                </c:pt>
                <c:pt idx="107">
                  <c:v>35.991379310344826</c:v>
                </c:pt>
                <c:pt idx="108">
                  <c:v>40.813135261923378</c:v>
                </c:pt>
                <c:pt idx="109">
                  <c:v>37.786561264822133</c:v>
                </c:pt>
                <c:pt idx="110">
                  <c:v>42.659279778393355</c:v>
                </c:pt>
                <c:pt idx="111">
                  <c:v>39.198131568703779</c:v>
                </c:pt>
                <c:pt idx="112">
                  <c:v>39.279869067103107</c:v>
                </c:pt>
                <c:pt idx="113">
                  <c:v>42.108890420399725</c:v>
                </c:pt>
                <c:pt idx="114">
                  <c:v>37.489609310058185</c:v>
                </c:pt>
                <c:pt idx="115">
                  <c:v>35.413899955732624</c:v>
                </c:pt>
                <c:pt idx="116">
                  <c:v>48.197955890263586</c:v>
                </c:pt>
                <c:pt idx="117">
                  <c:v>36.372360844529751</c:v>
                </c:pt>
                <c:pt idx="118">
                  <c:v>0</c:v>
                </c:pt>
                <c:pt idx="119">
                  <c:v>41.97530864197531</c:v>
                </c:pt>
                <c:pt idx="120">
                  <c:v>32.253711201079625</c:v>
                </c:pt>
                <c:pt idx="121">
                  <c:v>51.320918146383718</c:v>
                </c:pt>
                <c:pt idx="122">
                  <c:v>33.550325488232346</c:v>
                </c:pt>
                <c:pt idx="123">
                  <c:v>35.837864557587743</c:v>
                </c:pt>
                <c:pt idx="124">
                  <c:v>43.203883495145632</c:v>
                </c:pt>
                <c:pt idx="125">
                  <c:v>40.560640732265448</c:v>
                </c:pt>
                <c:pt idx="126">
                  <c:v>36.066288704753596</c:v>
                </c:pt>
                <c:pt idx="127">
                  <c:v>34.057301293900181</c:v>
                </c:pt>
                <c:pt idx="128">
                  <c:v>36.285858077503775</c:v>
                </c:pt>
                <c:pt idx="129">
                  <c:v>42.036753445635526</c:v>
                </c:pt>
                <c:pt idx="130">
                  <c:v>70.199587061252586</c:v>
                </c:pt>
                <c:pt idx="131">
                  <c:v>31.971465629053178</c:v>
                </c:pt>
                <c:pt idx="132">
                  <c:v>35.394021739130437</c:v>
                </c:pt>
                <c:pt idx="133">
                  <c:v>35.140700068634182</c:v>
                </c:pt>
                <c:pt idx="134">
                  <c:v>29.351351351351351</c:v>
                </c:pt>
                <c:pt idx="135">
                  <c:v>42.471590909090907</c:v>
                </c:pt>
                <c:pt idx="136">
                  <c:v>55.265700483091784</c:v>
                </c:pt>
                <c:pt idx="137">
                  <c:v>51.10526315789474</c:v>
                </c:pt>
                <c:pt idx="138">
                  <c:v>36.855895196506552</c:v>
                </c:pt>
                <c:pt idx="139">
                  <c:v>34.820209376422397</c:v>
                </c:pt>
                <c:pt idx="140">
                  <c:v>69.944444444444443</c:v>
                </c:pt>
                <c:pt idx="141">
                  <c:v>33.010156971375807</c:v>
                </c:pt>
                <c:pt idx="142">
                  <c:v>40.26290165530672</c:v>
                </c:pt>
                <c:pt idx="143">
                  <c:v>38.359412043622569</c:v>
                </c:pt>
                <c:pt idx="144">
                  <c:v>30.732484076433121</c:v>
                </c:pt>
                <c:pt idx="145">
                  <c:v>37.028301886792455</c:v>
                </c:pt>
                <c:pt idx="146">
                  <c:v>35.288367546432063</c:v>
                </c:pt>
                <c:pt idx="147">
                  <c:v>34.275248560962844</c:v>
                </c:pt>
                <c:pt idx="148">
                  <c:v>38.125802310654684</c:v>
                </c:pt>
                <c:pt idx="149">
                  <c:v>40.745732255166217</c:v>
                </c:pt>
                <c:pt idx="150">
                  <c:v>27.971233913701742</c:v>
                </c:pt>
                <c:pt idx="151">
                  <c:v>28.618602091359385</c:v>
                </c:pt>
                <c:pt idx="152">
                  <c:v>32.336255801959773</c:v>
                </c:pt>
                <c:pt idx="153">
                  <c:v>24.444444444444443</c:v>
                </c:pt>
                <c:pt idx="154">
                  <c:v>28.796498905908095</c:v>
                </c:pt>
                <c:pt idx="155">
                  <c:v>28.420227361818895</c:v>
                </c:pt>
                <c:pt idx="156">
                  <c:v>33.021390374331553</c:v>
                </c:pt>
                <c:pt idx="157">
                  <c:v>53.324468085106382</c:v>
                </c:pt>
                <c:pt idx="158">
                  <c:v>48.549810844892811</c:v>
                </c:pt>
                <c:pt idx="159">
                  <c:v>32.177931831311383</c:v>
                </c:pt>
                <c:pt idx="160">
                  <c:v>44.659300184162063</c:v>
                </c:pt>
                <c:pt idx="161">
                  <c:v>28.372555518727211</c:v>
                </c:pt>
                <c:pt idx="162">
                  <c:v>26.083707025411062</c:v>
                </c:pt>
                <c:pt idx="163">
                  <c:v>27.099236641221374</c:v>
                </c:pt>
                <c:pt idx="164">
                  <c:v>29.520795660036168</c:v>
                </c:pt>
                <c:pt idx="165">
                  <c:v>26.91194708557255</c:v>
                </c:pt>
                <c:pt idx="166">
                  <c:v>22.96983758700696</c:v>
                </c:pt>
                <c:pt idx="167">
                  <c:v>23.950826621449767</c:v>
                </c:pt>
                <c:pt idx="168">
                  <c:v>26.504394861392832</c:v>
                </c:pt>
                <c:pt idx="169">
                  <c:v>22.563417890520693</c:v>
                </c:pt>
                <c:pt idx="170">
                  <c:v>22.906496432594817</c:v>
                </c:pt>
                <c:pt idx="171">
                  <c:v>42.521534847298355</c:v>
                </c:pt>
                <c:pt idx="172">
                  <c:v>34.256694367497694</c:v>
                </c:pt>
                <c:pt idx="173">
                  <c:v>31.412337662337663</c:v>
                </c:pt>
                <c:pt idx="174">
                  <c:v>37.596899224806201</c:v>
                </c:pt>
                <c:pt idx="175">
                  <c:v>35.335276967930028</c:v>
                </c:pt>
                <c:pt idx="176">
                  <c:v>49.561146869514339</c:v>
                </c:pt>
                <c:pt idx="177">
                  <c:v>64.645637034002462</c:v>
                </c:pt>
                <c:pt idx="178">
                  <c:v>31.949058693244741</c:v>
                </c:pt>
                <c:pt idx="179">
                  <c:v>42.149390243902438</c:v>
                </c:pt>
                <c:pt idx="180">
                  <c:v>43.365500603136311</c:v>
                </c:pt>
                <c:pt idx="181">
                  <c:v>26.360225140712945</c:v>
                </c:pt>
              </c:numCache>
            </c:numRef>
          </c:xVal>
          <c:yVal>
            <c:numRef>
              <c:f>'Дума партии'!$AH$2:$AH$184</c:f>
              <c:numCache>
                <c:formatCode>0.0</c:formatCode>
                <c:ptCount val="182"/>
                <c:pt idx="0">
                  <c:v>6.8238213399503724</c:v>
                </c:pt>
                <c:pt idx="1">
                  <c:v>4.5314109165808443</c:v>
                </c:pt>
                <c:pt idx="2">
                  <c:v>1.1893870082342177</c:v>
                </c:pt>
                <c:pt idx="3">
                  <c:v>2.255639097744361</c:v>
                </c:pt>
                <c:pt idx="4">
                  <c:v>7.6673866090712739</c:v>
                </c:pt>
                <c:pt idx="5">
                  <c:v>5.3868756121449559</c:v>
                </c:pt>
                <c:pt idx="6">
                  <c:v>9.0239410681399637</c:v>
                </c:pt>
                <c:pt idx="7">
                  <c:v>3.9874902267396402</c:v>
                </c:pt>
                <c:pt idx="8">
                  <c:v>5.6641942009440323</c:v>
                </c:pt>
                <c:pt idx="9">
                  <c:v>5.0167224080267561</c:v>
                </c:pt>
                <c:pt idx="10">
                  <c:v>5.9221658206429781</c:v>
                </c:pt>
                <c:pt idx="11">
                  <c:v>2.6113671274961598</c:v>
                </c:pt>
                <c:pt idx="12">
                  <c:v>3.8194444444444446</c:v>
                </c:pt>
                <c:pt idx="13">
                  <c:v>7.6099881093935791</c:v>
                </c:pt>
                <c:pt idx="14">
                  <c:v>6.6101694915254239</c:v>
                </c:pt>
                <c:pt idx="15">
                  <c:v>7.1074380165289259</c:v>
                </c:pt>
                <c:pt idx="16">
                  <c:v>4.7846889952153111</c:v>
                </c:pt>
                <c:pt idx="17">
                  <c:v>9.7156398104265396</c:v>
                </c:pt>
                <c:pt idx="18">
                  <c:v>3.8231780167264038</c:v>
                </c:pt>
                <c:pt idx="19">
                  <c:v>7.157258064516129</c:v>
                </c:pt>
                <c:pt idx="20">
                  <c:v>9.6234309623430967</c:v>
                </c:pt>
                <c:pt idx="21">
                  <c:v>5.025125628140704</c:v>
                </c:pt>
                <c:pt idx="22">
                  <c:v>6.5395095367847409</c:v>
                </c:pt>
                <c:pt idx="23">
                  <c:v>7.1339173967459324</c:v>
                </c:pt>
                <c:pt idx="24">
                  <c:v>6.2927496580027356</c:v>
                </c:pt>
                <c:pt idx="25">
                  <c:v>6.2653562653562656</c:v>
                </c:pt>
                <c:pt idx="26">
                  <c:v>7.9307201458523249</c:v>
                </c:pt>
                <c:pt idx="27">
                  <c:v>8.5519922254616141</c:v>
                </c:pt>
                <c:pt idx="28">
                  <c:v>7.3012939001848425</c:v>
                </c:pt>
                <c:pt idx="29">
                  <c:v>7.0643642072213497</c:v>
                </c:pt>
                <c:pt idx="30">
                  <c:v>8.5836909871244629</c:v>
                </c:pt>
                <c:pt idx="31">
                  <c:v>7.4889867841409687</c:v>
                </c:pt>
                <c:pt idx="32">
                  <c:v>6.6793893129770989</c:v>
                </c:pt>
                <c:pt idx="33">
                  <c:v>7.7348066298342539</c:v>
                </c:pt>
                <c:pt idx="34">
                  <c:v>4.2959427207637235</c:v>
                </c:pt>
                <c:pt idx="35">
                  <c:v>5.1058530510585305</c:v>
                </c:pt>
                <c:pt idx="36">
                  <c:v>0.65934065934065933</c:v>
                </c:pt>
                <c:pt idx="37">
                  <c:v>3.168044077134986</c:v>
                </c:pt>
                <c:pt idx="38">
                  <c:v>3.7572254335260116</c:v>
                </c:pt>
                <c:pt idx="39">
                  <c:v>3.7168141592920354</c:v>
                </c:pt>
                <c:pt idx="40">
                  <c:v>6.1516452074391985</c:v>
                </c:pt>
                <c:pt idx="41">
                  <c:v>9.7826086956521738</c:v>
                </c:pt>
                <c:pt idx="42">
                  <c:v>10.204081632653061</c:v>
                </c:pt>
                <c:pt idx="43">
                  <c:v>8.7231352718078377</c:v>
                </c:pt>
                <c:pt idx="44">
                  <c:v>2.3720349563046192</c:v>
                </c:pt>
                <c:pt idx="45">
                  <c:v>2.5257249766136578</c:v>
                </c:pt>
                <c:pt idx="46">
                  <c:v>4.946996466431095</c:v>
                </c:pt>
                <c:pt idx="47">
                  <c:v>6.106870229007634</c:v>
                </c:pt>
                <c:pt idx="48">
                  <c:v>8.0394922425952053</c:v>
                </c:pt>
                <c:pt idx="49">
                  <c:v>6.9135802469135799</c:v>
                </c:pt>
                <c:pt idx="50">
                  <c:v>11.154345006485084</c:v>
                </c:pt>
                <c:pt idx="51">
                  <c:v>7.9617834394904454</c:v>
                </c:pt>
                <c:pt idx="52">
                  <c:v>7.2625698324022343</c:v>
                </c:pt>
                <c:pt idx="53">
                  <c:v>3.1630170316301705</c:v>
                </c:pt>
                <c:pt idx="54">
                  <c:v>5.6426332288401255</c:v>
                </c:pt>
                <c:pt idx="55">
                  <c:v>6.1507936507936511</c:v>
                </c:pt>
                <c:pt idx="56">
                  <c:v>5.0075872534142638</c:v>
                </c:pt>
                <c:pt idx="57">
                  <c:v>8.342022940563087</c:v>
                </c:pt>
                <c:pt idx="58">
                  <c:v>8.9873417721518987</c:v>
                </c:pt>
                <c:pt idx="59">
                  <c:v>7.6066790352504636</c:v>
                </c:pt>
                <c:pt idx="60">
                  <c:v>8.386075949367088</c:v>
                </c:pt>
                <c:pt idx="61">
                  <c:v>4.7789725209080052</c:v>
                </c:pt>
                <c:pt idx="62">
                  <c:v>10.104529616724738</c:v>
                </c:pt>
                <c:pt idx="63">
                  <c:v>8.3333333333333339</c:v>
                </c:pt>
                <c:pt idx="64">
                  <c:v>6.4516129032258061</c:v>
                </c:pt>
                <c:pt idx="65">
                  <c:v>4.2496679946879148</c:v>
                </c:pt>
                <c:pt idx="66">
                  <c:v>6.1833688699360341</c:v>
                </c:pt>
                <c:pt idx="67">
                  <c:v>5.5</c:v>
                </c:pt>
                <c:pt idx="68">
                  <c:v>4.7344110854503461</c:v>
                </c:pt>
                <c:pt idx="69">
                  <c:v>8.9197224975222991</c:v>
                </c:pt>
                <c:pt idx="70">
                  <c:v>5.2401746724890828</c:v>
                </c:pt>
                <c:pt idx="71">
                  <c:v>4.8936170212765955</c:v>
                </c:pt>
                <c:pt idx="72">
                  <c:v>6.8106312292358808</c:v>
                </c:pt>
                <c:pt idx="73">
                  <c:v>10.804020100502512</c:v>
                </c:pt>
                <c:pt idx="74">
                  <c:v>11.015118790496761</c:v>
                </c:pt>
                <c:pt idx="75">
                  <c:v>2.3460410557184752</c:v>
                </c:pt>
                <c:pt idx="76">
                  <c:v>5.160142348754448</c:v>
                </c:pt>
                <c:pt idx="77">
                  <c:v>4.166666666666667</c:v>
                </c:pt>
                <c:pt idx="78">
                  <c:v>6.9796954314720816</c:v>
                </c:pt>
                <c:pt idx="79">
                  <c:v>2.9801324503311259</c:v>
                </c:pt>
                <c:pt idx="80">
                  <c:v>7.2519083969465647</c:v>
                </c:pt>
                <c:pt idx="81">
                  <c:v>10.033444816053512</c:v>
                </c:pt>
                <c:pt idx="82">
                  <c:v>8.7947882736156355</c:v>
                </c:pt>
                <c:pt idx="83">
                  <c:v>6.6959385290889131</c:v>
                </c:pt>
                <c:pt idx="84">
                  <c:v>7.6479076479076475</c:v>
                </c:pt>
                <c:pt idx="85">
                  <c:v>7.7363896848137532</c:v>
                </c:pt>
                <c:pt idx="86">
                  <c:v>7.5949367088607591</c:v>
                </c:pt>
                <c:pt idx="87">
                  <c:v>7.0532915360501569</c:v>
                </c:pt>
                <c:pt idx="88">
                  <c:v>6.8413391557496359</c:v>
                </c:pt>
                <c:pt idx="89">
                  <c:v>5.4398148148148149</c:v>
                </c:pt>
                <c:pt idx="90">
                  <c:v>5.9071729957805905</c:v>
                </c:pt>
                <c:pt idx="91">
                  <c:v>5.6074766355140184</c:v>
                </c:pt>
                <c:pt idx="92">
                  <c:v>6.0893098782138022</c:v>
                </c:pt>
                <c:pt idx="93">
                  <c:v>3.8411458333333335</c:v>
                </c:pt>
                <c:pt idx="94">
                  <c:v>1.910828025477707</c:v>
                </c:pt>
                <c:pt idx="95">
                  <c:v>3.6734693877551021</c:v>
                </c:pt>
                <c:pt idx="96">
                  <c:v>1.0968921389396709</c:v>
                </c:pt>
                <c:pt idx="97">
                  <c:v>4.1264266900790165</c:v>
                </c:pt>
                <c:pt idx="98">
                  <c:v>3.5582822085889569</c:v>
                </c:pt>
                <c:pt idx="99">
                  <c:v>9.4497607655502396</c:v>
                </c:pt>
                <c:pt idx="100">
                  <c:v>8.5250338294993231</c:v>
                </c:pt>
                <c:pt idx="101">
                  <c:v>5.7377049180327866</c:v>
                </c:pt>
                <c:pt idx="102">
                  <c:v>6.3716814159292037</c:v>
                </c:pt>
                <c:pt idx="103">
                  <c:v>0.68965517241379315</c:v>
                </c:pt>
                <c:pt idx="104">
                  <c:v>5.913978494623656</c:v>
                </c:pt>
                <c:pt idx="105">
                  <c:v>6.2735257214554583</c:v>
                </c:pt>
                <c:pt idx="106">
                  <c:v>9.5127610208816709</c:v>
                </c:pt>
                <c:pt idx="107">
                  <c:v>9.9401197604790426</c:v>
                </c:pt>
                <c:pt idx="108">
                  <c:v>7.5728155339805827</c:v>
                </c:pt>
                <c:pt idx="109">
                  <c:v>7.3221757322175733</c:v>
                </c:pt>
                <c:pt idx="110">
                  <c:v>10.632570659488559</c:v>
                </c:pt>
                <c:pt idx="111">
                  <c:v>7.9792746113989637</c:v>
                </c:pt>
                <c:pt idx="112">
                  <c:v>9.375</c:v>
                </c:pt>
                <c:pt idx="113">
                  <c:v>5.8919803600654665</c:v>
                </c:pt>
                <c:pt idx="114">
                  <c:v>6.6815144766146997</c:v>
                </c:pt>
                <c:pt idx="115">
                  <c:v>9.0112640801001245</c:v>
                </c:pt>
                <c:pt idx="116">
                  <c:v>6.0606060606060606</c:v>
                </c:pt>
                <c:pt idx="117">
                  <c:v>8.1794195250659634</c:v>
                </c:pt>
                <c:pt idx="118">
                  <c:v>0</c:v>
                </c:pt>
                <c:pt idx="119">
                  <c:v>7.5564278704612367</c:v>
                </c:pt>
                <c:pt idx="120">
                  <c:v>10.181311018131101</c:v>
                </c:pt>
                <c:pt idx="121">
                  <c:v>4.9789029535864975</c:v>
                </c:pt>
                <c:pt idx="122">
                  <c:v>7.4626865671641793</c:v>
                </c:pt>
                <c:pt idx="123">
                  <c:v>7.916666666666667</c:v>
                </c:pt>
                <c:pt idx="124">
                  <c:v>6.4039408866995071</c:v>
                </c:pt>
                <c:pt idx="125">
                  <c:v>7.2033898305084749</c:v>
                </c:pt>
                <c:pt idx="126">
                  <c:v>9.4316807738814994</c:v>
                </c:pt>
                <c:pt idx="127">
                  <c:v>9.4979647218453191</c:v>
                </c:pt>
                <c:pt idx="128">
                  <c:v>11.650485436893204</c:v>
                </c:pt>
                <c:pt idx="129">
                  <c:v>7.6502732240437155</c:v>
                </c:pt>
                <c:pt idx="130">
                  <c:v>11.007025761124122</c:v>
                </c:pt>
                <c:pt idx="131">
                  <c:v>7.3022312373225153</c:v>
                </c:pt>
                <c:pt idx="132">
                  <c:v>11.708253358925145</c:v>
                </c:pt>
                <c:pt idx="133">
                  <c:v>8.0078125</c:v>
                </c:pt>
                <c:pt idx="134">
                  <c:v>9.7605893186003687</c:v>
                </c:pt>
                <c:pt idx="135">
                  <c:v>8.4726867335562996</c:v>
                </c:pt>
                <c:pt idx="136">
                  <c:v>5.244755244755245</c:v>
                </c:pt>
                <c:pt idx="137">
                  <c:v>5.9793814432989691</c:v>
                </c:pt>
                <c:pt idx="138">
                  <c:v>8.8308457711442792</c:v>
                </c:pt>
                <c:pt idx="139">
                  <c:v>8.8888888888888893</c:v>
                </c:pt>
                <c:pt idx="140">
                  <c:v>2.5416997617156474</c:v>
                </c:pt>
                <c:pt idx="141">
                  <c:v>11.468531468531468</c:v>
                </c:pt>
                <c:pt idx="142">
                  <c:v>7.1871127633209415</c:v>
                </c:pt>
                <c:pt idx="143">
                  <c:v>6.901041666666667</c:v>
                </c:pt>
                <c:pt idx="144">
                  <c:v>7.7720207253886011</c:v>
                </c:pt>
                <c:pt idx="145">
                  <c:v>9.5948827292110881</c:v>
                </c:pt>
                <c:pt idx="146">
                  <c:v>5.2631578947368425</c:v>
                </c:pt>
                <c:pt idx="147">
                  <c:v>7.3282442748091601</c:v>
                </c:pt>
                <c:pt idx="148">
                  <c:v>6.3205417607223477</c:v>
                </c:pt>
                <c:pt idx="149">
                  <c:v>7.6327433628318584</c:v>
                </c:pt>
                <c:pt idx="150">
                  <c:v>9.8782138024357238</c:v>
                </c:pt>
                <c:pt idx="151">
                  <c:v>9.4230769230769234</c:v>
                </c:pt>
                <c:pt idx="152">
                  <c:v>8.2934609250398719</c:v>
                </c:pt>
                <c:pt idx="153">
                  <c:v>9.8814229249011856</c:v>
                </c:pt>
                <c:pt idx="154">
                  <c:v>12.462006079027356</c:v>
                </c:pt>
                <c:pt idx="155">
                  <c:v>10.620689655172415</c:v>
                </c:pt>
                <c:pt idx="156">
                  <c:v>5.2631578947368425</c:v>
                </c:pt>
                <c:pt idx="157">
                  <c:v>3.7406483790523692</c:v>
                </c:pt>
                <c:pt idx="158">
                  <c:v>7.6115485564304466</c:v>
                </c:pt>
                <c:pt idx="159">
                  <c:v>10.545454545454545</c:v>
                </c:pt>
                <c:pt idx="160">
                  <c:v>6.804123711340206</c:v>
                </c:pt>
                <c:pt idx="161">
                  <c:v>13.450292397660819</c:v>
                </c:pt>
                <c:pt idx="162">
                  <c:v>11.891117478510029</c:v>
                </c:pt>
                <c:pt idx="163">
                  <c:v>9.0766823161189354</c:v>
                </c:pt>
                <c:pt idx="164">
                  <c:v>11.791730474732006</c:v>
                </c:pt>
                <c:pt idx="165">
                  <c:v>9.9846390168970807</c:v>
                </c:pt>
                <c:pt idx="166">
                  <c:v>8.5192697768762677</c:v>
                </c:pt>
                <c:pt idx="167">
                  <c:v>9.252669039145907</c:v>
                </c:pt>
                <c:pt idx="168">
                  <c:v>7.7806122448979593</c:v>
                </c:pt>
                <c:pt idx="169">
                  <c:v>9.316770186335404</c:v>
                </c:pt>
                <c:pt idx="170">
                  <c:v>9.0163934426229506</c:v>
                </c:pt>
                <c:pt idx="171">
                  <c:v>4.2357274401473299</c:v>
                </c:pt>
                <c:pt idx="172">
                  <c:v>7.0080862533692718</c:v>
                </c:pt>
                <c:pt idx="173">
                  <c:v>7.4935400516795863</c:v>
                </c:pt>
                <c:pt idx="174">
                  <c:v>5.6701030927835054</c:v>
                </c:pt>
                <c:pt idx="175">
                  <c:v>5.775577557755776</c:v>
                </c:pt>
                <c:pt idx="176">
                  <c:v>7.8291814946619214</c:v>
                </c:pt>
                <c:pt idx="177">
                  <c:v>3.9923954372623576</c:v>
                </c:pt>
                <c:pt idx="178">
                  <c:v>3.8128249566724435</c:v>
                </c:pt>
                <c:pt idx="179">
                  <c:v>6.3291139240506329</c:v>
                </c:pt>
                <c:pt idx="180">
                  <c:v>5.006954102920723</c:v>
                </c:pt>
                <c:pt idx="181">
                  <c:v>7.117437722419929</c:v>
                </c:pt>
              </c:numCache>
            </c:numRef>
          </c:yVal>
          <c:bubbleSize>
            <c:numRef>
              <c:f>'Дума партии'!$J$2:$J$184</c:f>
              <c:numCache>
                <c:formatCode>General</c:formatCode>
                <c:ptCount val="182"/>
                <c:pt idx="0">
                  <c:v>2451</c:v>
                </c:pt>
                <c:pt idx="1">
                  <c:v>1779</c:v>
                </c:pt>
                <c:pt idx="2">
                  <c:v>1942</c:v>
                </c:pt>
                <c:pt idx="3">
                  <c:v>2110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422</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2240</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1292</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290</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2226</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3017</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3-36CE-4AFB-9313-7A7B86C5B0D3}"/>
            </c:ext>
          </c:extLst>
        </c:ser>
        <c:ser>
          <c:idx val="12"/>
          <c:order val="4"/>
          <c:tx>
            <c:strRef>
              <c:f>'Дума партии'!$AJ$1</c:f>
              <c:strCache>
                <c:ptCount val="1"/>
                <c:pt idx="0">
                  <c:v>Единая Россия</c:v>
                </c:pt>
              </c:strCache>
            </c:strRef>
          </c:tx>
          <c:spPr>
            <a:solidFill>
              <a:srgbClr val="0000FF">
                <a:alpha val="49804"/>
              </a:srgbClr>
            </a:solidFill>
            <a:ln w="25400">
              <a:noFill/>
            </a:ln>
          </c:spPr>
          <c:invertIfNegative val="0"/>
          <c:xVal>
            <c:numRef>
              <c:f>'Дума партии'!$O$2:$O$184</c:f>
              <c:numCache>
                <c:formatCode>0.0</c:formatCode>
                <c:ptCount val="182"/>
                <c:pt idx="0">
                  <c:v>65.769073847409217</c:v>
                </c:pt>
                <c:pt idx="1">
                  <c:v>54.693648116919618</c:v>
                </c:pt>
                <c:pt idx="2">
                  <c:v>56.333676622039135</c:v>
                </c:pt>
                <c:pt idx="3">
                  <c:v>56.919431279620852</c:v>
                </c:pt>
                <c:pt idx="4">
                  <c:v>49.812130971551262</c:v>
                </c:pt>
                <c:pt idx="5">
                  <c:v>52.610030706243606</c:v>
                </c:pt>
                <c:pt idx="6">
                  <c:v>62.290927521540802</c:v>
                </c:pt>
                <c:pt idx="7">
                  <c:v>71.452328159645234</c:v>
                </c:pt>
                <c:pt idx="8">
                  <c:v>73.707753479125245</c:v>
                </c:pt>
                <c:pt idx="9">
                  <c:v>38.504037399065027</c:v>
                </c:pt>
                <c:pt idx="10">
                  <c:v>26.023778071334213</c:v>
                </c:pt>
                <c:pt idx="11">
                  <c:v>73.80952380952381</c:v>
                </c:pt>
                <c:pt idx="12">
                  <c:v>52.41128298453139</c:v>
                </c:pt>
                <c:pt idx="13">
                  <c:v>35.041666666666664</c:v>
                </c:pt>
                <c:pt idx="14">
                  <c:v>48.479868529170091</c:v>
                </c:pt>
                <c:pt idx="15">
                  <c:v>30.726256983240223</c:v>
                </c:pt>
                <c:pt idx="16">
                  <c:v>49.526066350710899</c:v>
                </c:pt>
                <c:pt idx="17">
                  <c:v>34.267413931144915</c:v>
                </c:pt>
                <c:pt idx="18">
                  <c:v>48.776223776223773</c:v>
                </c:pt>
                <c:pt idx="19">
                  <c:v>36.920222634508349</c:v>
                </c:pt>
                <c:pt idx="20">
                  <c:v>26.006528835690968</c:v>
                </c:pt>
                <c:pt idx="21">
                  <c:v>47.85954785954786</c:v>
                </c:pt>
                <c:pt idx="22">
                  <c:v>33.182844243792324</c:v>
                </c:pt>
                <c:pt idx="23">
                  <c:v>38.321342925659472</c:v>
                </c:pt>
                <c:pt idx="24">
                  <c:v>32.349052446011456</c:v>
                </c:pt>
                <c:pt idx="25">
                  <c:v>38.541666666666664</c:v>
                </c:pt>
                <c:pt idx="26">
                  <c:v>54.414682539682538</c:v>
                </c:pt>
                <c:pt idx="27">
                  <c:v>44.678111587982833</c:v>
                </c:pt>
                <c:pt idx="28">
                  <c:v>48.960216998191683</c:v>
                </c:pt>
                <c:pt idx="29">
                  <c:v>36.23435722411832</c:v>
                </c:pt>
                <c:pt idx="30">
                  <c:v>41.570026761819804</c:v>
                </c:pt>
                <c:pt idx="31">
                  <c:v>30.401785714285715</c:v>
                </c:pt>
                <c:pt idx="32">
                  <c:v>40.432098765432102</c:v>
                </c:pt>
                <c:pt idx="33">
                  <c:v>95.27145359019265</c:v>
                </c:pt>
                <c:pt idx="34">
                  <c:v>43.419689119170982</c:v>
                </c:pt>
                <c:pt idx="35">
                  <c:v>61.180952380952384</c:v>
                </c:pt>
                <c:pt idx="36">
                  <c:v>82.278481012658233</c:v>
                </c:pt>
                <c:pt idx="37">
                  <c:v>37.891440501043839</c:v>
                </c:pt>
                <c:pt idx="38">
                  <c:v>40.373395565927652</c:v>
                </c:pt>
                <c:pt idx="39">
                  <c:v>40.014164305949009</c:v>
                </c:pt>
                <c:pt idx="40">
                  <c:v>35.019646365422396</c:v>
                </c:pt>
                <c:pt idx="41">
                  <c:v>32.91592128801431</c:v>
                </c:pt>
                <c:pt idx="42">
                  <c:v>34.583952451708768</c:v>
                </c:pt>
                <c:pt idx="43">
                  <c:v>34.065460809646858</c:v>
                </c:pt>
                <c:pt idx="44">
                  <c:v>66.542133665421332</c:v>
                </c:pt>
                <c:pt idx="45">
                  <c:v>82.972136222910223</c:v>
                </c:pt>
                <c:pt idx="46">
                  <c:v>64.759725400457668</c:v>
                </c:pt>
                <c:pt idx="47">
                  <c:v>40.809968847352025</c:v>
                </c:pt>
                <c:pt idx="48">
                  <c:v>45.801033591731269</c:v>
                </c:pt>
                <c:pt idx="49">
                  <c:v>54.984354045596781</c:v>
                </c:pt>
                <c:pt idx="50">
                  <c:v>40.988835725677831</c:v>
                </c:pt>
                <c:pt idx="51">
                  <c:v>37.672465506898618</c:v>
                </c:pt>
                <c:pt idx="52">
                  <c:v>42.771804062126641</c:v>
                </c:pt>
                <c:pt idx="53">
                  <c:v>78.285714285714292</c:v>
                </c:pt>
                <c:pt idx="54">
                  <c:v>35.802469135802468</c:v>
                </c:pt>
                <c:pt idx="55">
                  <c:v>34.591626630061768</c:v>
                </c:pt>
                <c:pt idx="56">
                  <c:v>43.99198931909212</c:v>
                </c:pt>
                <c:pt idx="57">
                  <c:v>35.998498498498499</c:v>
                </c:pt>
                <c:pt idx="58">
                  <c:v>28.264758497316638</c:v>
                </c:pt>
                <c:pt idx="59">
                  <c:v>41.413753361505954</c:v>
                </c:pt>
                <c:pt idx="60">
                  <c:v>38.279830405814657</c:v>
                </c:pt>
                <c:pt idx="61">
                  <c:v>44.122298365840798</c:v>
                </c:pt>
                <c:pt idx="62">
                  <c:v>28.415841584158414</c:v>
                </c:pt>
                <c:pt idx="63">
                  <c:v>28.213166144200628</c:v>
                </c:pt>
                <c:pt idx="64">
                  <c:v>31.632653061224488</c:v>
                </c:pt>
                <c:pt idx="65">
                  <c:v>57.634902411021812</c:v>
                </c:pt>
                <c:pt idx="66">
                  <c:v>65.963431786216603</c:v>
                </c:pt>
                <c:pt idx="67">
                  <c:v>59.171597633136095</c:v>
                </c:pt>
                <c:pt idx="68">
                  <c:v>46.972972972972975</c:v>
                </c:pt>
                <c:pt idx="69">
                  <c:v>52.910330361824855</c:v>
                </c:pt>
                <c:pt idx="70">
                  <c:v>36.995153473344104</c:v>
                </c:pt>
                <c:pt idx="71">
                  <c:v>41.978609625668447</c:v>
                </c:pt>
                <c:pt idx="72">
                  <c:v>40.463576158940398</c:v>
                </c:pt>
                <c:pt idx="73">
                  <c:v>22.40990990990991</c:v>
                </c:pt>
                <c:pt idx="74">
                  <c:v>35.343511450381676</c:v>
                </c:pt>
                <c:pt idx="75">
                  <c:v>51.278195488721806</c:v>
                </c:pt>
                <c:pt idx="76">
                  <c:v>55.201177625122668</c:v>
                </c:pt>
                <c:pt idx="77">
                  <c:v>57.815126050420169</c:v>
                </c:pt>
                <c:pt idx="78">
                  <c:v>51.873767258382642</c:v>
                </c:pt>
                <c:pt idx="79">
                  <c:v>42.535211267605632</c:v>
                </c:pt>
                <c:pt idx="80">
                  <c:v>51.540983606557376</c:v>
                </c:pt>
                <c:pt idx="81">
                  <c:v>40.625</c:v>
                </c:pt>
                <c:pt idx="82">
                  <c:v>47.904811174340402</c:v>
                </c:pt>
                <c:pt idx="83">
                  <c:v>44.525904203323556</c:v>
                </c:pt>
                <c:pt idx="84">
                  <c:v>40.621336459554513</c:v>
                </c:pt>
                <c:pt idx="85">
                  <c:v>40.938416422287389</c:v>
                </c:pt>
                <c:pt idx="86">
                  <c:v>46.500981033355131</c:v>
                </c:pt>
                <c:pt idx="87">
                  <c:v>35.444444444444443</c:v>
                </c:pt>
                <c:pt idx="88">
                  <c:v>38.161993769470406</c:v>
                </c:pt>
                <c:pt idx="89">
                  <c:v>43.880142204164549</c:v>
                </c:pt>
                <c:pt idx="90">
                  <c:v>49.60753532182104</c:v>
                </c:pt>
                <c:pt idx="91">
                  <c:v>51.973284760170003</c:v>
                </c:pt>
                <c:pt idx="92">
                  <c:v>56.155015197568389</c:v>
                </c:pt>
                <c:pt idx="93">
                  <c:v>63.973344439816742</c:v>
                </c:pt>
                <c:pt idx="94">
                  <c:v>66.090611863615138</c:v>
                </c:pt>
                <c:pt idx="95">
                  <c:v>65.528455284552848</c:v>
                </c:pt>
                <c:pt idx="96">
                  <c:v>59.78142076502732</c:v>
                </c:pt>
                <c:pt idx="97">
                  <c:v>47.716799329702553</c:v>
                </c:pt>
                <c:pt idx="98">
                  <c:v>53.094462540716613</c:v>
                </c:pt>
                <c:pt idx="99">
                  <c:v>31.606805293005671</c:v>
                </c:pt>
                <c:pt idx="100">
                  <c:v>36.172295643661279</c:v>
                </c:pt>
                <c:pt idx="101">
                  <c:v>57.703081232492998</c:v>
                </c:pt>
                <c:pt idx="102">
                  <c:v>57.186234817813762</c:v>
                </c:pt>
                <c:pt idx="103">
                  <c:v>100</c:v>
                </c:pt>
                <c:pt idx="104">
                  <c:v>90.865384615384613</c:v>
                </c:pt>
                <c:pt idx="105">
                  <c:v>45.725760183591511</c:v>
                </c:pt>
                <c:pt idx="106">
                  <c:v>38.141592920353979</c:v>
                </c:pt>
                <c:pt idx="107">
                  <c:v>35.991379310344826</c:v>
                </c:pt>
                <c:pt idx="108">
                  <c:v>40.813135261923378</c:v>
                </c:pt>
                <c:pt idx="109">
                  <c:v>37.786561264822133</c:v>
                </c:pt>
                <c:pt idx="110">
                  <c:v>42.659279778393355</c:v>
                </c:pt>
                <c:pt idx="111">
                  <c:v>39.198131568703779</c:v>
                </c:pt>
                <c:pt idx="112">
                  <c:v>39.279869067103107</c:v>
                </c:pt>
                <c:pt idx="113">
                  <c:v>42.108890420399725</c:v>
                </c:pt>
                <c:pt idx="114">
                  <c:v>37.489609310058185</c:v>
                </c:pt>
                <c:pt idx="115">
                  <c:v>35.413899955732624</c:v>
                </c:pt>
                <c:pt idx="116">
                  <c:v>48.197955890263586</c:v>
                </c:pt>
                <c:pt idx="117">
                  <c:v>36.372360844529751</c:v>
                </c:pt>
                <c:pt idx="118">
                  <c:v>0</c:v>
                </c:pt>
                <c:pt idx="119">
                  <c:v>41.97530864197531</c:v>
                </c:pt>
                <c:pt idx="120">
                  <c:v>32.253711201079625</c:v>
                </c:pt>
                <c:pt idx="121">
                  <c:v>51.320918146383718</c:v>
                </c:pt>
                <c:pt idx="122">
                  <c:v>33.550325488232346</c:v>
                </c:pt>
                <c:pt idx="123">
                  <c:v>35.837864557587743</c:v>
                </c:pt>
                <c:pt idx="124">
                  <c:v>43.203883495145632</c:v>
                </c:pt>
                <c:pt idx="125">
                  <c:v>40.560640732265448</c:v>
                </c:pt>
                <c:pt idx="126">
                  <c:v>36.066288704753596</c:v>
                </c:pt>
                <c:pt idx="127">
                  <c:v>34.057301293900181</c:v>
                </c:pt>
                <c:pt idx="128">
                  <c:v>36.285858077503775</c:v>
                </c:pt>
                <c:pt idx="129">
                  <c:v>42.036753445635526</c:v>
                </c:pt>
                <c:pt idx="130">
                  <c:v>70.199587061252586</c:v>
                </c:pt>
                <c:pt idx="131">
                  <c:v>31.971465629053178</c:v>
                </c:pt>
                <c:pt idx="132">
                  <c:v>35.394021739130437</c:v>
                </c:pt>
                <c:pt idx="133">
                  <c:v>35.140700068634182</c:v>
                </c:pt>
                <c:pt idx="134">
                  <c:v>29.351351351351351</c:v>
                </c:pt>
                <c:pt idx="135">
                  <c:v>42.471590909090907</c:v>
                </c:pt>
                <c:pt idx="136">
                  <c:v>55.265700483091784</c:v>
                </c:pt>
                <c:pt idx="137">
                  <c:v>51.10526315789474</c:v>
                </c:pt>
                <c:pt idx="138">
                  <c:v>36.855895196506552</c:v>
                </c:pt>
                <c:pt idx="139">
                  <c:v>34.820209376422397</c:v>
                </c:pt>
                <c:pt idx="140">
                  <c:v>69.944444444444443</c:v>
                </c:pt>
                <c:pt idx="141">
                  <c:v>33.010156971375807</c:v>
                </c:pt>
                <c:pt idx="142">
                  <c:v>40.26290165530672</c:v>
                </c:pt>
                <c:pt idx="143">
                  <c:v>38.359412043622569</c:v>
                </c:pt>
                <c:pt idx="144">
                  <c:v>30.732484076433121</c:v>
                </c:pt>
                <c:pt idx="145">
                  <c:v>37.028301886792455</c:v>
                </c:pt>
                <c:pt idx="146">
                  <c:v>35.288367546432063</c:v>
                </c:pt>
                <c:pt idx="147">
                  <c:v>34.275248560962844</c:v>
                </c:pt>
                <c:pt idx="148">
                  <c:v>38.125802310654684</c:v>
                </c:pt>
                <c:pt idx="149">
                  <c:v>40.745732255166217</c:v>
                </c:pt>
                <c:pt idx="150">
                  <c:v>27.971233913701742</c:v>
                </c:pt>
                <c:pt idx="151">
                  <c:v>28.618602091359385</c:v>
                </c:pt>
                <c:pt idx="152">
                  <c:v>32.336255801959773</c:v>
                </c:pt>
                <c:pt idx="153">
                  <c:v>24.444444444444443</c:v>
                </c:pt>
                <c:pt idx="154">
                  <c:v>28.796498905908095</c:v>
                </c:pt>
                <c:pt idx="155">
                  <c:v>28.420227361818895</c:v>
                </c:pt>
                <c:pt idx="156">
                  <c:v>33.021390374331553</c:v>
                </c:pt>
                <c:pt idx="157">
                  <c:v>53.324468085106382</c:v>
                </c:pt>
                <c:pt idx="158">
                  <c:v>48.549810844892811</c:v>
                </c:pt>
                <c:pt idx="159">
                  <c:v>32.177931831311383</c:v>
                </c:pt>
                <c:pt idx="160">
                  <c:v>44.659300184162063</c:v>
                </c:pt>
                <c:pt idx="161">
                  <c:v>28.372555518727211</c:v>
                </c:pt>
                <c:pt idx="162">
                  <c:v>26.083707025411062</c:v>
                </c:pt>
                <c:pt idx="163">
                  <c:v>27.099236641221374</c:v>
                </c:pt>
                <c:pt idx="164">
                  <c:v>29.520795660036168</c:v>
                </c:pt>
                <c:pt idx="165">
                  <c:v>26.91194708557255</c:v>
                </c:pt>
                <c:pt idx="166">
                  <c:v>22.96983758700696</c:v>
                </c:pt>
                <c:pt idx="167">
                  <c:v>23.950826621449767</c:v>
                </c:pt>
                <c:pt idx="168">
                  <c:v>26.504394861392832</c:v>
                </c:pt>
                <c:pt idx="169">
                  <c:v>22.563417890520693</c:v>
                </c:pt>
                <c:pt idx="170">
                  <c:v>22.906496432594817</c:v>
                </c:pt>
                <c:pt idx="171">
                  <c:v>42.521534847298355</c:v>
                </c:pt>
                <c:pt idx="172">
                  <c:v>34.256694367497694</c:v>
                </c:pt>
                <c:pt idx="173">
                  <c:v>31.412337662337663</c:v>
                </c:pt>
                <c:pt idx="174">
                  <c:v>37.596899224806201</c:v>
                </c:pt>
                <c:pt idx="175">
                  <c:v>35.335276967930028</c:v>
                </c:pt>
                <c:pt idx="176">
                  <c:v>49.561146869514339</c:v>
                </c:pt>
                <c:pt idx="177">
                  <c:v>64.645637034002462</c:v>
                </c:pt>
                <c:pt idx="178">
                  <c:v>31.949058693244741</c:v>
                </c:pt>
                <c:pt idx="179">
                  <c:v>42.149390243902438</c:v>
                </c:pt>
                <c:pt idx="180">
                  <c:v>43.365500603136311</c:v>
                </c:pt>
                <c:pt idx="181">
                  <c:v>26.360225140712945</c:v>
                </c:pt>
              </c:numCache>
            </c:numRef>
          </c:xVal>
          <c:yVal>
            <c:numRef>
              <c:f>'Дума партии'!$AJ$2:$AJ$184</c:f>
              <c:numCache>
                <c:formatCode>0.0</c:formatCode>
                <c:ptCount val="182"/>
                <c:pt idx="0">
                  <c:v>45.037220843672458</c:v>
                </c:pt>
                <c:pt idx="1">
                  <c:v>55.71575695159629</c:v>
                </c:pt>
                <c:pt idx="2">
                  <c:v>79.963403476669711</c:v>
                </c:pt>
                <c:pt idx="3">
                  <c:v>59.649122807017541</c:v>
                </c:pt>
                <c:pt idx="4">
                  <c:v>35.961123110151185</c:v>
                </c:pt>
                <c:pt idx="5">
                  <c:v>49.069539666993144</c:v>
                </c:pt>
                <c:pt idx="6">
                  <c:v>48.434622467771639</c:v>
                </c:pt>
                <c:pt idx="7">
                  <c:v>58.639562157935885</c:v>
                </c:pt>
                <c:pt idx="8">
                  <c:v>58.530006743088336</c:v>
                </c:pt>
                <c:pt idx="9">
                  <c:v>35.451505016722408</c:v>
                </c:pt>
                <c:pt idx="10">
                  <c:v>24.365482233502537</c:v>
                </c:pt>
                <c:pt idx="11">
                  <c:v>63.133640552995395</c:v>
                </c:pt>
                <c:pt idx="12">
                  <c:v>34.895833333333336</c:v>
                </c:pt>
                <c:pt idx="13">
                  <c:v>37.931034482758619</c:v>
                </c:pt>
                <c:pt idx="14">
                  <c:v>43.050847457627121</c:v>
                </c:pt>
                <c:pt idx="15">
                  <c:v>31.074380165289256</c:v>
                </c:pt>
                <c:pt idx="16">
                  <c:v>36.842105263157897</c:v>
                </c:pt>
                <c:pt idx="17">
                  <c:v>23.933649289099527</c:v>
                </c:pt>
                <c:pt idx="18">
                  <c:v>44.922341696535248</c:v>
                </c:pt>
                <c:pt idx="19">
                  <c:v>40.625</c:v>
                </c:pt>
                <c:pt idx="20">
                  <c:v>31.799163179916317</c:v>
                </c:pt>
                <c:pt idx="21">
                  <c:v>46.4321608040201</c:v>
                </c:pt>
                <c:pt idx="22">
                  <c:v>25.47683923705722</c:v>
                </c:pt>
                <c:pt idx="23">
                  <c:v>25.90738423028786</c:v>
                </c:pt>
                <c:pt idx="24">
                  <c:v>33.515731874145004</c:v>
                </c:pt>
                <c:pt idx="25">
                  <c:v>33.169533169533167</c:v>
                </c:pt>
                <c:pt idx="26">
                  <c:v>42.114858705560621</c:v>
                </c:pt>
                <c:pt idx="27">
                  <c:v>42.662779397473273</c:v>
                </c:pt>
                <c:pt idx="28">
                  <c:v>46.02587800369686</c:v>
                </c:pt>
                <c:pt idx="29">
                  <c:v>32.810047095761384</c:v>
                </c:pt>
                <c:pt idx="30">
                  <c:v>27.682403433476395</c:v>
                </c:pt>
                <c:pt idx="31">
                  <c:v>26.872246696035241</c:v>
                </c:pt>
                <c:pt idx="32">
                  <c:v>42.748091603053432</c:v>
                </c:pt>
                <c:pt idx="33">
                  <c:v>41.25230202578269</c:v>
                </c:pt>
                <c:pt idx="34">
                  <c:v>63.245823389021481</c:v>
                </c:pt>
                <c:pt idx="35">
                  <c:v>55.977584059775843</c:v>
                </c:pt>
                <c:pt idx="36">
                  <c:v>66.15384615384616</c:v>
                </c:pt>
                <c:pt idx="37">
                  <c:v>50.964187327823694</c:v>
                </c:pt>
                <c:pt idx="38">
                  <c:v>37.861271676300575</c:v>
                </c:pt>
                <c:pt idx="39">
                  <c:v>44.778761061946902</c:v>
                </c:pt>
                <c:pt idx="40">
                  <c:v>35.622317596566525</c:v>
                </c:pt>
                <c:pt idx="41">
                  <c:v>31.521739130434781</c:v>
                </c:pt>
                <c:pt idx="42">
                  <c:v>22.234156820622985</c:v>
                </c:pt>
                <c:pt idx="43">
                  <c:v>21.871049304677623</c:v>
                </c:pt>
                <c:pt idx="44">
                  <c:v>75.530586766541816</c:v>
                </c:pt>
                <c:pt idx="45">
                  <c:v>85.126286248830681</c:v>
                </c:pt>
                <c:pt idx="46">
                  <c:v>54.416961130742052</c:v>
                </c:pt>
                <c:pt idx="47">
                  <c:v>30.229007633587788</c:v>
                </c:pt>
                <c:pt idx="48">
                  <c:v>37.094499294781379</c:v>
                </c:pt>
                <c:pt idx="49">
                  <c:v>47.160493827160494</c:v>
                </c:pt>
                <c:pt idx="50">
                  <c:v>40.077821011673151</c:v>
                </c:pt>
                <c:pt idx="51">
                  <c:v>30.095541401273884</c:v>
                </c:pt>
                <c:pt idx="52">
                  <c:v>29.050279329608937</c:v>
                </c:pt>
                <c:pt idx="53">
                  <c:v>42.335766423357661</c:v>
                </c:pt>
                <c:pt idx="54">
                  <c:v>32.445141065830718</c:v>
                </c:pt>
                <c:pt idx="55">
                  <c:v>27.38095238095238</c:v>
                </c:pt>
                <c:pt idx="56">
                  <c:v>40.06069802731411</c:v>
                </c:pt>
                <c:pt idx="57">
                  <c:v>28.467153284671532</c:v>
                </c:pt>
                <c:pt idx="58">
                  <c:v>38.22784810126582</c:v>
                </c:pt>
                <c:pt idx="59">
                  <c:v>32.096474953617808</c:v>
                </c:pt>
                <c:pt idx="60">
                  <c:v>37.183544303797468</c:v>
                </c:pt>
                <c:pt idx="61">
                  <c:v>56.750298685782553</c:v>
                </c:pt>
                <c:pt idx="62">
                  <c:v>25.087108013937282</c:v>
                </c:pt>
                <c:pt idx="63">
                  <c:v>31.111111111111111</c:v>
                </c:pt>
                <c:pt idx="64">
                  <c:v>26.881720430107528</c:v>
                </c:pt>
                <c:pt idx="65">
                  <c:v>45.152722443559099</c:v>
                </c:pt>
                <c:pt idx="66">
                  <c:v>39.872068230277186</c:v>
                </c:pt>
                <c:pt idx="67">
                  <c:v>42.25</c:v>
                </c:pt>
                <c:pt idx="68">
                  <c:v>31.986143187066975</c:v>
                </c:pt>
                <c:pt idx="69">
                  <c:v>29.633300297324084</c:v>
                </c:pt>
                <c:pt idx="70">
                  <c:v>37.554585152838428</c:v>
                </c:pt>
                <c:pt idx="71">
                  <c:v>32.765957446808514</c:v>
                </c:pt>
                <c:pt idx="72">
                  <c:v>31.893687707641195</c:v>
                </c:pt>
                <c:pt idx="73">
                  <c:v>26.13065326633166</c:v>
                </c:pt>
                <c:pt idx="74">
                  <c:v>23.110151187904968</c:v>
                </c:pt>
                <c:pt idx="75">
                  <c:v>52.639296187683286</c:v>
                </c:pt>
                <c:pt idx="76">
                  <c:v>45.729537366548044</c:v>
                </c:pt>
                <c:pt idx="77">
                  <c:v>49.519230769230766</c:v>
                </c:pt>
                <c:pt idx="78">
                  <c:v>44.289340101522839</c:v>
                </c:pt>
                <c:pt idx="79">
                  <c:v>41.059602649006621</c:v>
                </c:pt>
                <c:pt idx="80">
                  <c:v>36.132315521628499</c:v>
                </c:pt>
                <c:pt idx="81">
                  <c:v>25.083612040133779</c:v>
                </c:pt>
                <c:pt idx="82">
                  <c:v>32.03040173724213</c:v>
                </c:pt>
                <c:pt idx="83">
                  <c:v>24.478594950603732</c:v>
                </c:pt>
                <c:pt idx="84">
                  <c:v>32.323232323232325</c:v>
                </c:pt>
                <c:pt idx="85">
                  <c:v>28.939828080229226</c:v>
                </c:pt>
                <c:pt idx="86">
                  <c:v>34.739803094233473</c:v>
                </c:pt>
                <c:pt idx="87">
                  <c:v>36.050156739811911</c:v>
                </c:pt>
                <c:pt idx="88">
                  <c:v>31.877729257641921</c:v>
                </c:pt>
                <c:pt idx="89">
                  <c:v>46.875</c:v>
                </c:pt>
                <c:pt idx="90">
                  <c:v>48.945147679324897</c:v>
                </c:pt>
                <c:pt idx="91">
                  <c:v>42.757009345794394</c:v>
                </c:pt>
                <c:pt idx="92">
                  <c:v>54.262516914749661</c:v>
                </c:pt>
                <c:pt idx="93">
                  <c:v>66.731770833333329</c:v>
                </c:pt>
                <c:pt idx="94">
                  <c:v>64.82661004953998</c:v>
                </c:pt>
                <c:pt idx="95">
                  <c:v>41.360544217687078</c:v>
                </c:pt>
                <c:pt idx="96">
                  <c:v>61.425959780621575</c:v>
                </c:pt>
                <c:pt idx="97">
                  <c:v>35.46971027216857</c:v>
                </c:pt>
                <c:pt idx="98">
                  <c:v>57.177914110429448</c:v>
                </c:pt>
                <c:pt idx="99">
                  <c:v>24.880382775119617</c:v>
                </c:pt>
                <c:pt idx="100">
                  <c:v>30.852503382949934</c:v>
                </c:pt>
                <c:pt idx="101">
                  <c:v>35.819672131147541</c:v>
                </c:pt>
                <c:pt idx="102">
                  <c:v>43.89380530973451</c:v>
                </c:pt>
                <c:pt idx="103">
                  <c:v>88.620689655172413</c:v>
                </c:pt>
                <c:pt idx="104">
                  <c:v>34.946236559139784</c:v>
                </c:pt>
                <c:pt idx="105">
                  <c:v>35.884567126725223</c:v>
                </c:pt>
                <c:pt idx="106">
                  <c:v>29.930394431554525</c:v>
                </c:pt>
                <c:pt idx="107">
                  <c:v>27.904191616766468</c:v>
                </c:pt>
                <c:pt idx="108">
                  <c:v>35.728155339805824</c:v>
                </c:pt>
                <c:pt idx="109">
                  <c:v>28.451882845188283</c:v>
                </c:pt>
                <c:pt idx="110">
                  <c:v>33.378196500672949</c:v>
                </c:pt>
                <c:pt idx="111">
                  <c:v>34.404145077720209</c:v>
                </c:pt>
                <c:pt idx="112">
                  <c:v>24.166666666666668</c:v>
                </c:pt>
                <c:pt idx="113">
                  <c:v>49.918166939443537</c:v>
                </c:pt>
                <c:pt idx="114">
                  <c:v>35.41202672605791</c:v>
                </c:pt>
                <c:pt idx="115">
                  <c:v>26.908635794743429</c:v>
                </c:pt>
                <c:pt idx="116">
                  <c:v>43.322109988776653</c:v>
                </c:pt>
                <c:pt idx="117">
                  <c:v>27.440633245382585</c:v>
                </c:pt>
                <c:pt idx="118">
                  <c:v>0</c:v>
                </c:pt>
                <c:pt idx="119">
                  <c:v>33.758586849852797</c:v>
                </c:pt>
                <c:pt idx="120">
                  <c:v>27.615062761506277</c:v>
                </c:pt>
                <c:pt idx="121">
                  <c:v>59.240506329113927</c:v>
                </c:pt>
                <c:pt idx="122">
                  <c:v>38.208955223880594</c:v>
                </c:pt>
                <c:pt idx="123">
                  <c:v>29.305555555555557</c:v>
                </c:pt>
                <c:pt idx="124">
                  <c:v>34.85221674876847</c:v>
                </c:pt>
                <c:pt idx="125">
                  <c:v>29.802259887005651</c:v>
                </c:pt>
                <c:pt idx="126">
                  <c:v>27.085852478839179</c:v>
                </c:pt>
                <c:pt idx="127">
                  <c:v>25.373134328358208</c:v>
                </c:pt>
                <c:pt idx="128">
                  <c:v>22.884882108183078</c:v>
                </c:pt>
                <c:pt idx="129">
                  <c:v>28.415300546448087</c:v>
                </c:pt>
                <c:pt idx="130">
                  <c:v>25.05854800936768</c:v>
                </c:pt>
                <c:pt idx="131">
                  <c:v>23.32657200811359</c:v>
                </c:pt>
                <c:pt idx="132">
                  <c:v>19.769673704414586</c:v>
                </c:pt>
                <c:pt idx="133">
                  <c:v>29.4921875</c:v>
                </c:pt>
                <c:pt idx="134">
                  <c:v>22.099447513812155</c:v>
                </c:pt>
                <c:pt idx="135">
                  <c:v>34.113712374581937</c:v>
                </c:pt>
                <c:pt idx="136">
                  <c:v>42.307692307692307</c:v>
                </c:pt>
                <c:pt idx="137">
                  <c:v>55.154639175257735</c:v>
                </c:pt>
                <c:pt idx="138">
                  <c:v>24.751243781094526</c:v>
                </c:pt>
                <c:pt idx="139">
                  <c:v>24.313725490196077</c:v>
                </c:pt>
                <c:pt idx="140">
                  <c:v>54.725972994440035</c:v>
                </c:pt>
                <c:pt idx="141">
                  <c:v>21.818181818181817</c:v>
                </c:pt>
                <c:pt idx="142">
                  <c:v>28.996282527881039</c:v>
                </c:pt>
                <c:pt idx="143">
                  <c:v>31.380208333333332</c:v>
                </c:pt>
                <c:pt idx="144">
                  <c:v>24.611398963730569</c:v>
                </c:pt>
                <c:pt idx="145">
                  <c:v>28.571428571428573</c:v>
                </c:pt>
                <c:pt idx="146">
                  <c:v>17.451523545706372</c:v>
                </c:pt>
                <c:pt idx="147">
                  <c:v>28.244274809160306</c:v>
                </c:pt>
                <c:pt idx="148">
                  <c:v>30.361173814898422</c:v>
                </c:pt>
                <c:pt idx="149">
                  <c:v>31.415929203539822</c:v>
                </c:pt>
                <c:pt idx="150">
                  <c:v>29.228687415426251</c:v>
                </c:pt>
                <c:pt idx="151">
                  <c:v>23.653846153846153</c:v>
                </c:pt>
                <c:pt idx="152">
                  <c:v>25.199362041467303</c:v>
                </c:pt>
                <c:pt idx="153">
                  <c:v>24.110671936758894</c:v>
                </c:pt>
                <c:pt idx="154">
                  <c:v>22.03647416413374</c:v>
                </c:pt>
                <c:pt idx="155">
                  <c:v>21.241379310344829</c:v>
                </c:pt>
                <c:pt idx="156">
                  <c:v>15.789473684210526</c:v>
                </c:pt>
                <c:pt idx="157">
                  <c:v>55.112219451371573</c:v>
                </c:pt>
                <c:pt idx="158">
                  <c:v>36.220472440944881</c:v>
                </c:pt>
                <c:pt idx="159">
                  <c:v>30.545454545454547</c:v>
                </c:pt>
                <c:pt idx="160">
                  <c:v>57.731958762886599</c:v>
                </c:pt>
                <c:pt idx="161">
                  <c:v>21.988304093567251</c:v>
                </c:pt>
                <c:pt idx="162">
                  <c:v>23.06590257879656</c:v>
                </c:pt>
                <c:pt idx="163">
                  <c:v>23.004694835680752</c:v>
                </c:pt>
                <c:pt idx="164">
                  <c:v>23.583460949464012</c:v>
                </c:pt>
                <c:pt idx="165">
                  <c:v>25.192012288786483</c:v>
                </c:pt>
                <c:pt idx="166">
                  <c:v>30.831643002028397</c:v>
                </c:pt>
                <c:pt idx="167">
                  <c:v>26.156583629893237</c:v>
                </c:pt>
                <c:pt idx="168">
                  <c:v>23.214285714285715</c:v>
                </c:pt>
                <c:pt idx="169">
                  <c:v>25.465838509316772</c:v>
                </c:pt>
                <c:pt idx="170">
                  <c:v>23.442622950819672</c:v>
                </c:pt>
                <c:pt idx="171">
                  <c:v>42.173112338858196</c:v>
                </c:pt>
                <c:pt idx="172">
                  <c:v>46.630727762803232</c:v>
                </c:pt>
                <c:pt idx="173">
                  <c:v>26.098191214470283</c:v>
                </c:pt>
                <c:pt idx="174">
                  <c:v>32.47422680412371</c:v>
                </c:pt>
                <c:pt idx="175">
                  <c:v>41.584158415841586</c:v>
                </c:pt>
                <c:pt idx="176">
                  <c:v>35.112692763938313</c:v>
                </c:pt>
                <c:pt idx="177">
                  <c:v>67.99746514575412</c:v>
                </c:pt>
                <c:pt idx="178">
                  <c:v>55.112651646447141</c:v>
                </c:pt>
                <c:pt idx="179">
                  <c:v>18.083182640144667</c:v>
                </c:pt>
                <c:pt idx="180">
                  <c:v>15.716272600834492</c:v>
                </c:pt>
                <c:pt idx="181">
                  <c:v>32.028469750889677</c:v>
                </c:pt>
              </c:numCache>
            </c:numRef>
          </c:yVal>
          <c:bubbleSize>
            <c:numRef>
              <c:f>'Дума партии'!$J$2:$J$184</c:f>
              <c:numCache>
                <c:formatCode>General</c:formatCode>
                <c:ptCount val="182"/>
                <c:pt idx="0">
                  <c:v>2451</c:v>
                </c:pt>
                <c:pt idx="1">
                  <c:v>1779</c:v>
                </c:pt>
                <c:pt idx="2">
                  <c:v>1942</c:v>
                </c:pt>
                <c:pt idx="3">
                  <c:v>2110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422</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2240</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1292</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290</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2226</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3017</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4-36CE-4AFB-9313-7A7B86C5B0D3}"/>
            </c:ext>
          </c:extLst>
        </c:ser>
        <c:ser>
          <c:idx val="13"/>
          <c:order val="5"/>
          <c:tx>
            <c:strRef>
              <c:f>'Дума партии'!$AL$1</c:f>
              <c:strCache>
                <c:ptCount val="1"/>
                <c:pt idx="0">
                  <c:v>СР</c:v>
                </c:pt>
              </c:strCache>
            </c:strRef>
          </c:tx>
          <c:spPr>
            <a:solidFill>
              <a:srgbClr val="6666FF">
                <a:alpha val="49804"/>
              </a:srgbClr>
            </a:solidFill>
            <a:ln w="25400"/>
          </c:spPr>
          <c:invertIfNegative val="0"/>
          <c:xVal>
            <c:numRef>
              <c:f>'Дума партии'!$O$2:$O$184</c:f>
              <c:numCache>
                <c:formatCode>0.0</c:formatCode>
                <c:ptCount val="182"/>
                <c:pt idx="0">
                  <c:v>65.769073847409217</c:v>
                </c:pt>
                <c:pt idx="1">
                  <c:v>54.693648116919618</c:v>
                </c:pt>
                <c:pt idx="2">
                  <c:v>56.333676622039135</c:v>
                </c:pt>
                <c:pt idx="3">
                  <c:v>56.919431279620852</c:v>
                </c:pt>
                <c:pt idx="4">
                  <c:v>49.812130971551262</c:v>
                </c:pt>
                <c:pt idx="5">
                  <c:v>52.610030706243606</c:v>
                </c:pt>
                <c:pt idx="6">
                  <c:v>62.290927521540802</c:v>
                </c:pt>
                <c:pt idx="7">
                  <c:v>71.452328159645234</c:v>
                </c:pt>
                <c:pt idx="8">
                  <c:v>73.707753479125245</c:v>
                </c:pt>
                <c:pt idx="9">
                  <c:v>38.504037399065027</c:v>
                </c:pt>
                <c:pt idx="10">
                  <c:v>26.023778071334213</c:v>
                </c:pt>
                <c:pt idx="11">
                  <c:v>73.80952380952381</c:v>
                </c:pt>
                <c:pt idx="12">
                  <c:v>52.41128298453139</c:v>
                </c:pt>
                <c:pt idx="13">
                  <c:v>35.041666666666664</c:v>
                </c:pt>
                <c:pt idx="14">
                  <c:v>48.479868529170091</c:v>
                </c:pt>
                <c:pt idx="15">
                  <c:v>30.726256983240223</c:v>
                </c:pt>
                <c:pt idx="16">
                  <c:v>49.526066350710899</c:v>
                </c:pt>
                <c:pt idx="17">
                  <c:v>34.267413931144915</c:v>
                </c:pt>
                <c:pt idx="18">
                  <c:v>48.776223776223773</c:v>
                </c:pt>
                <c:pt idx="19">
                  <c:v>36.920222634508349</c:v>
                </c:pt>
                <c:pt idx="20">
                  <c:v>26.006528835690968</c:v>
                </c:pt>
                <c:pt idx="21">
                  <c:v>47.85954785954786</c:v>
                </c:pt>
                <c:pt idx="22">
                  <c:v>33.182844243792324</c:v>
                </c:pt>
                <c:pt idx="23">
                  <c:v>38.321342925659472</c:v>
                </c:pt>
                <c:pt idx="24">
                  <c:v>32.349052446011456</c:v>
                </c:pt>
                <c:pt idx="25">
                  <c:v>38.541666666666664</c:v>
                </c:pt>
                <c:pt idx="26">
                  <c:v>54.414682539682538</c:v>
                </c:pt>
                <c:pt idx="27">
                  <c:v>44.678111587982833</c:v>
                </c:pt>
                <c:pt idx="28">
                  <c:v>48.960216998191683</c:v>
                </c:pt>
                <c:pt idx="29">
                  <c:v>36.23435722411832</c:v>
                </c:pt>
                <c:pt idx="30">
                  <c:v>41.570026761819804</c:v>
                </c:pt>
                <c:pt idx="31">
                  <c:v>30.401785714285715</c:v>
                </c:pt>
                <c:pt idx="32">
                  <c:v>40.432098765432102</c:v>
                </c:pt>
                <c:pt idx="33">
                  <c:v>95.27145359019265</c:v>
                </c:pt>
                <c:pt idx="34">
                  <c:v>43.419689119170982</c:v>
                </c:pt>
                <c:pt idx="35">
                  <c:v>61.180952380952384</c:v>
                </c:pt>
                <c:pt idx="36">
                  <c:v>82.278481012658233</c:v>
                </c:pt>
                <c:pt idx="37">
                  <c:v>37.891440501043839</c:v>
                </c:pt>
                <c:pt idx="38">
                  <c:v>40.373395565927652</c:v>
                </c:pt>
                <c:pt idx="39">
                  <c:v>40.014164305949009</c:v>
                </c:pt>
                <c:pt idx="40">
                  <c:v>35.019646365422396</c:v>
                </c:pt>
                <c:pt idx="41">
                  <c:v>32.91592128801431</c:v>
                </c:pt>
                <c:pt idx="42">
                  <c:v>34.583952451708768</c:v>
                </c:pt>
                <c:pt idx="43">
                  <c:v>34.065460809646858</c:v>
                </c:pt>
                <c:pt idx="44">
                  <c:v>66.542133665421332</c:v>
                </c:pt>
                <c:pt idx="45">
                  <c:v>82.972136222910223</c:v>
                </c:pt>
                <c:pt idx="46">
                  <c:v>64.759725400457668</c:v>
                </c:pt>
                <c:pt idx="47">
                  <c:v>40.809968847352025</c:v>
                </c:pt>
                <c:pt idx="48">
                  <c:v>45.801033591731269</c:v>
                </c:pt>
                <c:pt idx="49">
                  <c:v>54.984354045596781</c:v>
                </c:pt>
                <c:pt idx="50">
                  <c:v>40.988835725677831</c:v>
                </c:pt>
                <c:pt idx="51">
                  <c:v>37.672465506898618</c:v>
                </c:pt>
                <c:pt idx="52">
                  <c:v>42.771804062126641</c:v>
                </c:pt>
                <c:pt idx="53">
                  <c:v>78.285714285714292</c:v>
                </c:pt>
                <c:pt idx="54">
                  <c:v>35.802469135802468</c:v>
                </c:pt>
                <c:pt idx="55">
                  <c:v>34.591626630061768</c:v>
                </c:pt>
                <c:pt idx="56">
                  <c:v>43.99198931909212</c:v>
                </c:pt>
                <c:pt idx="57">
                  <c:v>35.998498498498499</c:v>
                </c:pt>
                <c:pt idx="58">
                  <c:v>28.264758497316638</c:v>
                </c:pt>
                <c:pt idx="59">
                  <c:v>41.413753361505954</c:v>
                </c:pt>
                <c:pt idx="60">
                  <c:v>38.279830405814657</c:v>
                </c:pt>
                <c:pt idx="61">
                  <c:v>44.122298365840798</c:v>
                </c:pt>
                <c:pt idx="62">
                  <c:v>28.415841584158414</c:v>
                </c:pt>
                <c:pt idx="63">
                  <c:v>28.213166144200628</c:v>
                </c:pt>
                <c:pt idx="64">
                  <c:v>31.632653061224488</c:v>
                </c:pt>
                <c:pt idx="65">
                  <c:v>57.634902411021812</c:v>
                </c:pt>
                <c:pt idx="66">
                  <c:v>65.963431786216603</c:v>
                </c:pt>
                <c:pt idx="67">
                  <c:v>59.171597633136095</c:v>
                </c:pt>
                <c:pt idx="68">
                  <c:v>46.972972972972975</c:v>
                </c:pt>
                <c:pt idx="69">
                  <c:v>52.910330361824855</c:v>
                </c:pt>
                <c:pt idx="70">
                  <c:v>36.995153473344104</c:v>
                </c:pt>
                <c:pt idx="71">
                  <c:v>41.978609625668447</c:v>
                </c:pt>
                <c:pt idx="72">
                  <c:v>40.463576158940398</c:v>
                </c:pt>
                <c:pt idx="73">
                  <c:v>22.40990990990991</c:v>
                </c:pt>
                <c:pt idx="74">
                  <c:v>35.343511450381676</c:v>
                </c:pt>
                <c:pt idx="75">
                  <c:v>51.278195488721806</c:v>
                </c:pt>
                <c:pt idx="76">
                  <c:v>55.201177625122668</c:v>
                </c:pt>
                <c:pt idx="77">
                  <c:v>57.815126050420169</c:v>
                </c:pt>
                <c:pt idx="78">
                  <c:v>51.873767258382642</c:v>
                </c:pt>
                <c:pt idx="79">
                  <c:v>42.535211267605632</c:v>
                </c:pt>
                <c:pt idx="80">
                  <c:v>51.540983606557376</c:v>
                </c:pt>
                <c:pt idx="81">
                  <c:v>40.625</c:v>
                </c:pt>
                <c:pt idx="82">
                  <c:v>47.904811174340402</c:v>
                </c:pt>
                <c:pt idx="83">
                  <c:v>44.525904203323556</c:v>
                </c:pt>
                <c:pt idx="84">
                  <c:v>40.621336459554513</c:v>
                </c:pt>
                <c:pt idx="85">
                  <c:v>40.938416422287389</c:v>
                </c:pt>
                <c:pt idx="86">
                  <c:v>46.500981033355131</c:v>
                </c:pt>
                <c:pt idx="87">
                  <c:v>35.444444444444443</c:v>
                </c:pt>
                <c:pt idx="88">
                  <c:v>38.161993769470406</c:v>
                </c:pt>
                <c:pt idx="89">
                  <c:v>43.880142204164549</c:v>
                </c:pt>
                <c:pt idx="90">
                  <c:v>49.60753532182104</c:v>
                </c:pt>
                <c:pt idx="91">
                  <c:v>51.973284760170003</c:v>
                </c:pt>
                <c:pt idx="92">
                  <c:v>56.155015197568389</c:v>
                </c:pt>
                <c:pt idx="93">
                  <c:v>63.973344439816742</c:v>
                </c:pt>
                <c:pt idx="94">
                  <c:v>66.090611863615138</c:v>
                </c:pt>
                <c:pt idx="95">
                  <c:v>65.528455284552848</c:v>
                </c:pt>
                <c:pt idx="96">
                  <c:v>59.78142076502732</c:v>
                </c:pt>
                <c:pt idx="97">
                  <c:v>47.716799329702553</c:v>
                </c:pt>
                <c:pt idx="98">
                  <c:v>53.094462540716613</c:v>
                </c:pt>
                <c:pt idx="99">
                  <c:v>31.606805293005671</c:v>
                </c:pt>
                <c:pt idx="100">
                  <c:v>36.172295643661279</c:v>
                </c:pt>
                <c:pt idx="101">
                  <c:v>57.703081232492998</c:v>
                </c:pt>
                <c:pt idx="102">
                  <c:v>57.186234817813762</c:v>
                </c:pt>
                <c:pt idx="103">
                  <c:v>100</c:v>
                </c:pt>
                <c:pt idx="104">
                  <c:v>90.865384615384613</c:v>
                </c:pt>
                <c:pt idx="105">
                  <c:v>45.725760183591511</c:v>
                </c:pt>
                <c:pt idx="106">
                  <c:v>38.141592920353979</c:v>
                </c:pt>
                <c:pt idx="107">
                  <c:v>35.991379310344826</c:v>
                </c:pt>
                <c:pt idx="108">
                  <c:v>40.813135261923378</c:v>
                </c:pt>
                <c:pt idx="109">
                  <c:v>37.786561264822133</c:v>
                </c:pt>
                <c:pt idx="110">
                  <c:v>42.659279778393355</c:v>
                </c:pt>
                <c:pt idx="111">
                  <c:v>39.198131568703779</c:v>
                </c:pt>
                <c:pt idx="112">
                  <c:v>39.279869067103107</c:v>
                </c:pt>
                <c:pt idx="113">
                  <c:v>42.108890420399725</c:v>
                </c:pt>
                <c:pt idx="114">
                  <c:v>37.489609310058185</c:v>
                </c:pt>
                <c:pt idx="115">
                  <c:v>35.413899955732624</c:v>
                </c:pt>
                <c:pt idx="116">
                  <c:v>48.197955890263586</c:v>
                </c:pt>
                <c:pt idx="117">
                  <c:v>36.372360844529751</c:v>
                </c:pt>
                <c:pt idx="118">
                  <c:v>0</c:v>
                </c:pt>
                <c:pt idx="119">
                  <c:v>41.97530864197531</c:v>
                </c:pt>
                <c:pt idx="120">
                  <c:v>32.253711201079625</c:v>
                </c:pt>
                <c:pt idx="121">
                  <c:v>51.320918146383718</c:v>
                </c:pt>
                <c:pt idx="122">
                  <c:v>33.550325488232346</c:v>
                </c:pt>
                <c:pt idx="123">
                  <c:v>35.837864557587743</c:v>
                </c:pt>
                <c:pt idx="124">
                  <c:v>43.203883495145632</c:v>
                </c:pt>
                <c:pt idx="125">
                  <c:v>40.560640732265448</c:v>
                </c:pt>
                <c:pt idx="126">
                  <c:v>36.066288704753596</c:v>
                </c:pt>
                <c:pt idx="127">
                  <c:v>34.057301293900181</c:v>
                </c:pt>
                <c:pt idx="128">
                  <c:v>36.285858077503775</c:v>
                </c:pt>
                <c:pt idx="129">
                  <c:v>42.036753445635526</c:v>
                </c:pt>
                <c:pt idx="130">
                  <c:v>70.199587061252586</c:v>
                </c:pt>
                <c:pt idx="131">
                  <c:v>31.971465629053178</c:v>
                </c:pt>
                <c:pt idx="132">
                  <c:v>35.394021739130437</c:v>
                </c:pt>
                <c:pt idx="133">
                  <c:v>35.140700068634182</c:v>
                </c:pt>
                <c:pt idx="134">
                  <c:v>29.351351351351351</c:v>
                </c:pt>
                <c:pt idx="135">
                  <c:v>42.471590909090907</c:v>
                </c:pt>
                <c:pt idx="136">
                  <c:v>55.265700483091784</c:v>
                </c:pt>
                <c:pt idx="137">
                  <c:v>51.10526315789474</c:v>
                </c:pt>
                <c:pt idx="138">
                  <c:v>36.855895196506552</c:v>
                </c:pt>
                <c:pt idx="139">
                  <c:v>34.820209376422397</c:v>
                </c:pt>
                <c:pt idx="140">
                  <c:v>69.944444444444443</c:v>
                </c:pt>
                <c:pt idx="141">
                  <c:v>33.010156971375807</c:v>
                </c:pt>
                <c:pt idx="142">
                  <c:v>40.26290165530672</c:v>
                </c:pt>
                <c:pt idx="143">
                  <c:v>38.359412043622569</c:v>
                </c:pt>
                <c:pt idx="144">
                  <c:v>30.732484076433121</c:v>
                </c:pt>
                <c:pt idx="145">
                  <c:v>37.028301886792455</c:v>
                </c:pt>
                <c:pt idx="146">
                  <c:v>35.288367546432063</c:v>
                </c:pt>
                <c:pt idx="147">
                  <c:v>34.275248560962844</c:v>
                </c:pt>
                <c:pt idx="148">
                  <c:v>38.125802310654684</c:v>
                </c:pt>
                <c:pt idx="149">
                  <c:v>40.745732255166217</c:v>
                </c:pt>
                <c:pt idx="150">
                  <c:v>27.971233913701742</c:v>
                </c:pt>
                <c:pt idx="151">
                  <c:v>28.618602091359385</c:v>
                </c:pt>
                <c:pt idx="152">
                  <c:v>32.336255801959773</c:v>
                </c:pt>
                <c:pt idx="153">
                  <c:v>24.444444444444443</c:v>
                </c:pt>
                <c:pt idx="154">
                  <c:v>28.796498905908095</c:v>
                </c:pt>
                <c:pt idx="155">
                  <c:v>28.420227361818895</c:v>
                </c:pt>
                <c:pt idx="156">
                  <c:v>33.021390374331553</c:v>
                </c:pt>
                <c:pt idx="157">
                  <c:v>53.324468085106382</c:v>
                </c:pt>
                <c:pt idx="158">
                  <c:v>48.549810844892811</c:v>
                </c:pt>
                <c:pt idx="159">
                  <c:v>32.177931831311383</c:v>
                </c:pt>
                <c:pt idx="160">
                  <c:v>44.659300184162063</c:v>
                </c:pt>
                <c:pt idx="161">
                  <c:v>28.372555518727211</c:v>
                </c:pt>
                <c:pt idx="162">
                  <c:v>26.083707025411062</c:v>
                </c:pt>
                <c:pt idx="163">
                  <c:v>27.099236641221374</c:v>
                </c:pt>
                <c:pt idx="164">
                  <c:v>29.520795660036168</c:v>
                </c:pt>
                <c:pt idx="165">
                  <c:v>26.91194708557255</c:v>
                </c:pt>
                <c:pt idx="166">
                  <c:v>22.96983758700696</c:v>
                </c:pt>
                <c:pt idx="167">
                  <c:v>23.950826621449767</c:v>
                </c:pt>
                <c:pt idx="168">
                  <c:v>26.504394861392832</c:v>
                </c:pt>
                <c:pt idx="169">
                  <c:v>22.563417890520693</c:v>
                </c:pt>
                <c:pt idx="170">
                  <c:v>22.906496432594817</c:v>
                </c:pt>
                <c:pt idx="171">
                  <c:v>42.521534847298355</c:v>
                </c:pt>
                <c:pt idx="172">
                  <c:v>34.256694367497694</c:v>
                </c:pt>
                <c:pt idx="173">
                  <c:v>31.412337662337663</c:v>
                </c:pt>
                <c:pt idx="174">
                  <c:v>37.596899224806201</c:v>
                </c:pt>
                <c:pt idx="175">
                  <c:v>35.335276967930028</c:v>
                </c:pt>
                <c:pt idx="176">
                  <c:v>49.561146869514339</c:v>
                </c:pt>
                <c:pt idx="177">
                  <c:v>64.645637034002462</c:v>
                </c:pt>
                <c:pt idx="178">
                  <c:v>31.949058693244741</c:v>
                </c:pt>
                <c:pt idx="179">
                  <c:v>42.149390243902438</c:v>
                </c:pt>
                <c:pt idx="180">
                  <c:v>43.365500603136311</c:v>
                </c:pt>
                <c:pt idx="181">
                  <c:v>26.360225140712945</c:v>
                </c:pt>
              </c:numCache>
            </c:numRef>
          </c:xVal>
          <c:yVal>
            <c:numRef>
              <c:f>'Дума партии'!$AL$2:$AL$184</c:f>
              <c:numCache>
                <c:formatCode>0.0</c:formatCode>
                <c:ptCount val="182"/>
                <c:pt idx="0">
                  <c:v>5.9553349875930524</c:v>
                </c:pt>
                <c:pt idx="1">
                  <c:v>5.2523171987641604</c:v>
                </c:pt>
                <c:pt idx="2">
                  <c:v>1.0064043915827996</c:v>
                </c:pt>
                <c:pt idx="3">
                  <c:v>4.2606516290726821</c:v>
                </c:pt>
                <c:pt idx="4">
                  <c:v>9.8272138228941692</c:v>
                </c:pt>
                <c:pt idx="5">
                  <c:v>6.366307541625857</c:v>
                </c:pt>
                <c:pt idx="6">
                  <c:v>5.4327808471454881</c:v>
                </c:pt>
                <c:pt idx="7">
                  <c:v>6.0985144644253326</c:v>
                </c:pt>
                <c:pt idx="8">
                  <c:v>5.2596089008766018</c:v>
                </c:pt>
                <c:pt idx="9">
                  <c:v>8.9186176142697882</c:v>
                </c:pt>
                <c:pt idx="10">
                  <c:v>8.6294416243654819</c:v>
                </c:pt>
                <c:pt idx="11">
                  <c:v>3.6866359447004609</c:v>
                </c:pt>
                <c:pt idx="12">
                  <c:v>7.1180555555555554</c:v>
                </c:pt>
                <c:pt idx="13">
                  <c:v>7.0154577883472058</c:v>
                </c:pt>
                <c:pt idx="14">
                  <c:v>8.3050847457627111</c:v>
                </c:pt>
                <c:pt idx="15">
                  <c:v>7.6033057851239674</c:v>
                </c:pt>
                <c:pt idx="16">
                  <c:v>7.6555023923444976</c:v>
                </c:pt>
                <c:pt idx="17">
                  <c:v>6.8720379146919433</c:v>
                </c:pt>
                <c:pt idx="18">
                  <c:v>7.1684587813620073</c:v>
                </c:pt>
                <c:pt idx="19">
                  <c:v>6.0483870967741939</c:v>
                </c:pt>
                <c:pt idx="20">
                  <c:v>6.2761506276150625</c:v>
                </c:pt>
                <c:pt idx="21">
                  <c:v>5.5276381909547743</c:v>
                </c:pt>
                <c:pt idx="22">
                  <c:v>8.7193460490463224</c:v>
                </c:pt>
                <c:pt idx="23">
                  <c:v>10.137672090112641</c:v>
                </c:pt>
                <c:pt idx="24">
                  <c:v>8.6183310533515733</c:v>
                </c:pt>
                <c:pt idx="25">
                  <c:v>7.6167076167076164</c:v>
                </c:pt>
                <c:pt idx="26">
                  <c:v>7.201458523245214</c:v>
                </c:pt>
                <c:pt idx="27">
                  <c:v>5.5393586005830908</c:v>
                </c:pt>
                <c:pt idx="28">
                  <c:v>5.2680221811460255</c:v>
                </c:pt>
                <c:pt idx="29">
                  <c:v>8.0062794348508639</c:v>
                </c:pt>
                <c:pt idx="30">
                  <c:v>7.0815450643776821</c:v>
                </c:pt>
                <c:pt idx="31">
                  <c:v>9.5447870778267259</c:v>
                </c:pt>
                <c:pt idx="32">
                  <c:v>8.778625954198473</c:v>
                </c:pt>
                <c:pt idx="33">
                  <c:v>5.8931860036832413</c:v>
                </c:pt>
                <c:pt idx="34">
                  <c:v>5.7279236276849641</c:v>
                </c:pt>
                <c:pt idx="35">
                  <c:v>4.9813200498132009</c:v>
                </c:pt>
                <c:pt idx="36">
                  <c:v>10.476190476190476</c:v>
                </c:pt>
                <c:pt idx="37">
                  <c:v>7.1625344352617084</c:v>
                </c:pt>
                <c:pt idx="38">
                  <c:v>7.5144508670520231</c:v>
                </c:pt>
                <c:pt idx="39">
                  <c:v>6.9026548672566372</c:v>
                </c:pt>
                <c:pt idx="40">
                  <c:v>7.8683834048640913</c:v>
                </c:pt>
                <c:pt idx="41">
                  <c:v>4.3478260869565215</c:v>
                </c:pt>
                <c:pt idx="42">
                  <c:v>8.1632653061224492</c:v>
                </c:pt>
                <c:pt idx="43">
                  <c:v>10.240202275600506</c:v>
                </c:pt>
                <c:pt idx="44">
                  <c:v>2.9962546816479403</c:v>
                </c:pt>
                <c:pt idx="45">
                  <c:v>1.2160898035547241</c:v>
                </c:pt>
                <c:pt idx="46">
                  <c:v>3.5335689045936394</c:v>
                </c:pt>
                <c:pt idx="47">
                  <c:v>8.0916030534351151</c:v>
                </c:pt>
                <c:pt idx="48">
                  <c:v>6.9111424541607898</c:v>
                </c:pt>
                <c:pt idx="49">
                  <c:v>5.8436213991769543</c:v>
                </c:pt>
                <c:pt idx="50">
                  <c:v>4.7989623865110245</c:v>
                </c:pt>
                <c:pt idx="51">
                  <c:v>7.1656050955414017</c:v>
                </c:pt>
                <c:pt idx="52">
                  <c:v>7.5418994413407825</c:v>
                </c:pt>
                <c:pt idx="53">
                  <c:v>5.8394160583941606</c:v>
                </c:pt>
                <c:pt idx="54">
                  <c:v>8.7774294670846391</c:v>
                </c:pt>
                <c:pt idx="55">
                  <c:v>10.119047619047619</c:v>
                </c:pt>
                <c:pt idx="56">
                  <c:v>7.7389984825493174</c:v>
                </c:pt>
                <c:pt idx="57">
                  <c:v>9.4890510948905114</c:v>
                </c:pt>
                <c:pt idx="58">
                  <c:v>10.253164556962025</c:v>
                </c:pt>
                <c:pt idx="59">
                  <c:v>10.018552875695732</c:v>
                </c:pt>
                <c:pt idx="60">
                  <c:v>8.8607594936708853</c:v>
                </c:pt>
                <c:pt idx="61">
                  <c:v>5.9737156511350058</c:v>
                </c:pt>
                <c:pt idx="62">
                  <c:v>8.8850174216027877</c:v>
                </c:pt>
                <c:pt idx="63">
                  <c:v>8.3333333333333339</c:v>
                </c:pt>
                <c:pt idx="64">
                  <c:v>7.5268817204301079</c:v>
                </c:pt>
                <c:pt idx="65">
                  <c:v>5.5112881806108902</c:v>
                </c:pt>
                <c:pt idx="66">
                  <c:v>5.9701492537313436</c:v>
                </c:pt>
                <c:pt idx="67">
                  <c:v>5</c:v>
                </c:pt>
                <c:pt idx="68">
                  <c:v>8.3140877598152425</c:v>
                </c:pt>
                <c:pt idx="69">
                  <c:v>9.7125867195242819</c:v>
                </c:pt>
                <c:pt idx="70">
                  <c:v>7.6419213973799129</c:v>
                </c:pt>
                <c:pt idx="71">
                  <c:v>10.425531914893616</c:v>
                </c:pt>
                <c:pt idx="72">
                  <c:v>9.1362126245847168</c:v>
                </c:pt>
                <c:pt idx="73">
                  <c:v>9.7989949748743719</c:v>
                </c:pt>
                <c:pt idx="74">
                  <c:v>7.3434125269978399</c:v>
                </c:pt>
                <c:pt idx="75">
                  <c:v>4.3988269794721404</c:v>
                </c:pt>
                <c:pt idx="76">
                  <c:v>6.2277580071174379</c:v>
                </c:pt>
                <c:pt idx="77">
                  <c:v>8.3333333333333339</c:v>
                </c:pt>
                <c:pt idx="78">
                  <c:v>7.1065989847715736</c:v>
                </c:pt>
                <c:pt idx="79">
                  <c:v>10.264900662251655</c:v>
                </c:pt>
                <c:pt idx="80">
                  <c:v>8.6513994910941481</c:v>
                </c:pt>
                <c:pt idx="81">
                  <c:v>8.695652173913043</c:v>
                </c:pt>
                <c:pt idx="82">
                  <c:v>7.9261672095548317</c:v>
                </c:pt>
                <c:pt idx="83">
                  <c:v>11.19648737650933</c:v>
                </c:pt>
                <c:pt idx="84">
                  <c:v>10.38961038961039</c:v>
                </c:pt>
                <c:pt idx="85">
                  <c:v>9.0257879656160451</c:v>
                </c:pt>
                <c:pt idx="86">
                  <c:v>8.7201125175808727</c:v>
                </c:pt>
                <c:pt idx="87">
                  <c:v>8.307210031347962</c:v>
                </c:pt>
                <c:pt idx="88">
                  <c:v>7.2780203784570601</c:v>
                </c:pt>
                <c:pt idx="89">
                  <c:v>7.5231481481481479</c:v>
                </c:pt>
                <c:pt idx="90">
                  <c:v>6.3291139240506329</c:v>
                </c:pt>
                <c:pt idx="91">
                  <c:v>10.163551401869158</c:v>
                </c:pt>
                <c:pt idx="92">
                  <c:v>6.7658998646820026</c:v>
                </c:pt>
                <c:pt idx="93">
                  <c:v>2.34375</c:v>
                </c:pt>
                <c:pt idx="94">
                  <c:v>4.0339702760084926</c:v>
                </c:pt>
                <c:pt idx="95">
                  <c:v>5.7142857142857144</c:v>
                </c:pt>
                <c:pt idx="96">
                  <c:v>3.8391224862888484</c:v>
                </c:pt>
                <c:pt idx="97">
                  <c:v>5.882352941176471</c:v>
                </c:pt>
                <c:pt idx="98">
                  <c:v>5.0306748466257671</c:v>
                </c:pt>
                <c:pt idx="99">
                  <c:v>10.287081339712918</c:v>
                </c:pt>
                <c:pt idx="100">
                  <c:v>8.9309878213802438</c:v>
                </c:pt>
                <c:pt idx="101">
                  <c:v>7.7049180327868854</c:v>
                </c:pt>
                <c:pt idx="102">
                  <c:v>6.9026548672566372</c:v>
                </c:pt>
                <c:pt idx="103">
                  <c:v>0.68965517241379315</c:v>
                </c:pt>
                <c:pt idx="104">
                  <c:v>2.6881720430107525</c:v>
                </c:pt>
                <c:pt idx="105">
                  <c:v>7.9046424090338769</c:v>
                </c:pt>
                <c:pt idx="106">
                  <c:v>6.9605568445475638</c:v>
                </c:pt>
                <c:pt idx="107">
                  <c:v>8.7425149700598794</c:v>
                </c:pt>
                <c:pt idx="108">
                  <c:v>7.9611650485436893</c:v>
                </c:pt>
                <c:pt idx="109">
                  <c:v>10.0418410041841</c:v>
                </c:pt>
                <c:pt idx="110">
                  <c:v>8.4791386271870799</c:v>
                </c:pt>
                <c:pt idx="111">
                  <c:v>9.7409326424870475</c:v>
                </c:pt>
                <c:pt idx="112">
                  <c:v>11.666666666666666</c:v>
                </c:pt>
                <c:pt idx="113">
                  <c:v>6.8739770867430439</c:v>
                </c:pt>
                <c:pt idx="114">
                  <c:v>7.5723830734966588</c:v>
                </c:pt>
                <c:pt idx="115">
                  <c:v>8.2603254067584473</c:v>
                </c:pt>
                <c:pt idx="116">
                  <c:v>8.0808080808080813</c:v>
                </c:pt>
                <c:pt idx="117">
                  <c:v>10.026385224274406</c:v>
                </c:pt>
                <c:pt idx="118">
                  <c:v>0</c:v>
                </c:pt>
                <c:pt idx="119">
                  <c:v>7.2620215897939158</c:v>
                </c:pt>
                <c:pt idx="120">
                  <c:v>12.831241283124129</c:v>
                </c:pt>
                <c:pt idx="121">
                  <c:v>8.0168776371308024</c:v>
                </c:pt>
                <c:pt idx="122">
                  <c:v>6.2686567164179108</c:v>
                </c:pt>
                <c:pt idx="123">
                  <c:v>10.277777777777779</c:v>
                </c:pt>
                <c:pt idx="124">
                  <c:v>10.22167487684729</c:v>
                </c:pt>
                <c:pt idx="125">
                  <c:v>9.7457627118644066</c:v>
                </c:pt>
                <c:pt idx="126">
                  <c:v>10.64087061668682</c:v>
                </c:pt>
                <c:pt idx="127">
                  <c:v>11.940298507462687</c:v>
                </c:pt>
                <c:pt idx="128">
                  <c:v>9.0152565880721216</c:v>
                </c:pt>
                <c:pt idx="129">
                  <c:v>10.928961748633879</c:v>
                </c:pt>
                <c:pt idx="130">
                  <c:v>6.7915690866510543</c:v>
                </c:pt>
                <c:pt idx="131">
                  <c:v>11.359026369168356</c:v>
                </c:pt>
                <c:pt idx="132">
                  <c:v>7.6775431861804222</c:v>
                </c:pt>
                <c:pt idx="133">
                  <c:v>7.8125</c:v>
                </c:pt>
                <c:pt idx="134">
                  <c:v>9.94475138121547</c:v>
                </c:pt>
                <c:pt idx="135">
                  <c:v>9.5875139353400218</c:v>
                </c:pt>
                <c:pt idx="136">
                  <c:v>9.0909090909090917</c:v>
                </c:pt>
                <c:pt idx="137">
                  <c:v>5.8762886597938149</c:v>
                </c:pt>
                <c:pt idx="138">
                  <c:v>10.696517412935323</c:v>
                </c:pt>
                <c:pt idx="139">
                  <c:v>8.4967320261437909</c:v>
                </c:pt>
                <c:pt idx="140">
                  <c:v>1.1119936457505957</c:v>
                </c:pt>
                <c:pt idx="141">
                  <c:v>8.9510489510489517</c:v>
                </c:pt>
                <c:pt idx="142">
                  <c:v>10.161090458488228</c:v>
                </c:pt>
                <c:pt idx="143">
                  <c:v>10.15625</c:v>
                </c:pt>
                <c:pt idx="144">
                  <c:v>9.3264248704663206</c:v>
                </c:pt>
                <c:pt idx="145">
                  <c:v>10.021321961620469</c:v>
                </c:pt>
                <c:pt idx="146">
                  <c:v>9.97229916897507</c:v>
                </c:pt>
                <c:pt idx="147">
                  <c:v>9.4656488549618327</c:v>
                </c:pt>
                <c:pt idx="148">
                  <c:v>10.045146726862303</c:v>
                </c:pt>
                <c:pt idx="149">
                  <c:v>8.6283185840707972</c:v>
                </c:pt>
                <c:pt idx="150">
                  <c:v>8.2543978349120426</c:v>
                </c:pt>
                <c:pt idx="151">
                  <c:v>8.6538461538461533</c:v>
                </c:pt>
                <c:pt idx="152">
                  <c:v>6.3795853269537481</c:v>
                </c:pt>
                <c:pt idx="153">
                  <c:v>9.6837944664031621</c:v>
                </c:pt>
                <c:pt idx="154">
                  <c:v>7.4468085106382977</c:v>
                </c:pt>
                <c:pt idx="155">
                  <c:v>8.137931034482758</c:v>
                </c:pt>
                <c:pt idx="156">
                  <c:v>4.9595141700404861</c:v>
                </c:pt>
                <c:pt idx="157">
                  <c:v>6.4837905236907734</c:v>
                </c:pt>
                <c:pt idx="158">
                  <c:v>9.9737532808398957</c:v>
                </c:pt>
                <c:pt idx="159">
                  <c:v>8.545454545454545</c:v>
                </c:pt>
                <c:pt idx="160">
                  <c:v>5.5670103092783503</c:v>
                </c:pt>
                <c:pt idx="161">
                  <c:v>7.3684210526315788</c:v>
                </c:pt>
                <c:pt idx="162">
                  <c:v>7.8796561604584525</c:v>
                </c:pt>
                <c:pt idx="163">
                  <c:v>7.511737089201878</c:v>
                </c:pt>
                <c:pt idx="164">
                  <c:v>9.4946401225114858</c:v>
                </c:pt>
                <c:pt idx="165">
                  <c:v>9.0629800307219668</c:v>
                </c:pt>
                <c:pt idx="166">
                  <c:v>9.939148073022313</c:v>
                </c:pt>
                <c:pt idx="167">
                  <c:v>10.142348754448399</c:v>
                </c:pt>
                <c:pt idx="168">
                  <c:v>7.908163265306122</c:v>
                </c:pt>
                <c:pt idx="169">
                  <c:v>11.801242236024844</c:v>
                </c:pt>
                <c:pt idx="170">
                  <c:v>8.0327868852459012</c:v>
                </c:pt>
                <c:pt idx="171">
                  <c:v>8.8397790055248624</c:v>
                </c:pt>
                <c:pt idx="172">
                  <c:v>7.2776280323450138</c:v>
                </c:pt>
                <c:pt idx="173">
                  <c:v>9.819121447028424</c:v>
                </c:pt>
                <c:pt idx="174">
                  <c:v>9.0206185567010309</c:v>
                </c:pt>
                <c:pt idx="175">
                  <c:v>5.1155115511551159</c:v>
                </c:pt>
                <c:pt idx="176">
                  <c:v>8.6595492289442468</c:v>
                </c:pt>
                <c:pt idx="177">
                  <c:v>3.5487959442332064</c:v>
                </c:pt>
                <c:pt idx="178">
                  <c:v>3.8128249566724435</c:v>
                </c:pt>
                <c:pt idx="179">
                  <c:v>7.9566003616636527</c:v>
                </c:pt>
                <c:pt idx="180">
                  <c:v>5.7023643949930456</c:v>
                </c:pt>
                <c:pt idx="181">
                  <c:v>6.0498220640569391</c:v>
                </c:pt>
              </c:numCache>
            </c:numRef>
          </c:yVal>
          <c:bubbleSize>
            <c:numRef>
              <c:f>'Дума партии'!$J$2:$J$184</c:f>
              <c:numCache>
                <c:formatCode>General</c:formatCode>
                <c:ptCount val="182"/>
                <c:pt idx="0">
                  <c:v>2451</c:v>
                </c:pt>
                <c:pt idx="1">
                  <c:v>1779</c:v>
                </c:pt>
                <c:pt idx="2">
                  <c:v>1942</c:v>
                </c:pt>
                <c:pt idx="3">
                  <c:v>2110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422</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2240</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1292</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290</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2226</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3017</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5-36CE-4AFB-9313-7A7B86C5B0D3}"/>
            </c:ext>
          </c:extLst>
        </c:ser>
        <c:ser>
          <c:idx val="14"/>
          <c:order val="6"/>
          <c:tx>
            <c:strRef>
              <c:f>'Дума партии'!$AN$1</c:f>
              <c:strCache>
                <c:ptCount val="1"/>
                <c:pt idx="0">
                  <c:v>Яблоко</c:v>
                </c:pt>
              </c:strCache>
            </c:strRef>
          </c:tx>
          <c:spPr>
            <a:solidFill>
              <a:srgbClr val="FF00FF">
                <a:alpha val="50000"/>
              </a:srgbClr>
            </a:solidFill>
            <a:ln w="25400">
              <a:noFill/>
            </a:ln>
            <a:effectLst/>
          </c:spPr>
          <c:invertIfNegative val="0"/>
          <c:xVal>
            <c:numRef>
              <c:f>'Дума партии'!$O$2:$O$184</c:f>
              <c:numCache>
                <c:formatCode>0.0</c:formatCode>
                <c:ptCount val="182"/>
                <c:pt idx="0">
                  <c:v>65.769073847409217</c:v>
                </c:pt>
                <c:pt idx="1">
                  <c:v>54.693648116919618</c:v>
                </c:pt>
                <c:pt idx="2">
                  <c:v>56.333676622039135</c:v>
                </c:pt>
                <c:pt idx="3">
                  <c:v>56.919431279620852</c:v>
                </c:pt>
                <c:pt idx="4">
                  <c:v>49.812130971551262</c:v>
                </c:pt>
                <c:pt idx="5">
                  <c:v>52.610030706243606</c:v>
                </c:pt>
                <c:pt idx="6">
                  <c:v>62.290927521540802</c:v>
                </c:pt>
                <c:pt idx="7">
                  <c:v>71.452328159645234</c:v>
                </c:pt>
                <c:pt idx="8">
                  <c:v>73.707753479125245</c:v>
                </c:pt>
                <c:pt idx="9">
                  <c:v>38.504037399065027</c:v>
                </c:pt>
                <c:pt idx="10">
                  <c:v>26.023778071334213</c:v>
                </c:pt>
                <c:pt idx="11">
                  <c:v>73.80952380952381</c:v>
                </c:pt>
                <c:pt idx="12">
                  <c:v>52.41128298453139</c:v>
                </c:pt>
                <c:pt idx="13">
                  <c:v>35.041666666666664</c:v>
                </c:pt>
                <c:pt idx="14">
                  <c:v>48.479868529170091</c:v>
                </c:pt>
                <c:pt idx="15">
                  <c:v>30.726256983240223</c:v>
                </c:pt>
                <c:pt idx="16">
                  <c:v>49.526066350710899</c:v>
                </c:pt>
                <c:pt idx="17">
                  <c:v>34.267413931144915</c:v>
                </c:pt>
                <c:pt idx="18">
                  <c:v>48.776223776223773</c:v>
                </c:pt>
                <c:pt idx="19">
                  <c:v>36.920222634508349</c:v>
                </c:pt>
                <c:pt idx="20">
                  <c:v>26.006528835690968</c:v>
                </c:pt>
                <c:pt idx="21">
                  <c:v>47.85954785954786</c:v>
                </c:pt>
                <c:pt idx="22">
                  <c:v>33.182844243792324</c:v>
                </c:pt>
                <c:pt idx="23">
                  <c:v>38.321342925659472</c:v>
                </c:pt>
                <c:pt idx="24">
                  <c:v>32.349052446011456</c:v>
                </c:pt>
                <c:pt idx="25">
                  <c:v>38.541666666666664</c:v>
                </c:pt>
                <c:pt idx="26">
                  <c:v>54.414682539682538</c:v>
                </c:pt>
                <c:pt idx="27">
                  <c:v>44.678111587982833</c:v>
                </c:pt>
                <c:pt idx="28">
                  <c:v>48.960216998191683</c:v>
                </c:pt>
                <c:pt idx="29">
                  <c:v>36.23435722411832</c:v>
                </c:pt>
                <c:pt idx="30">
                  <c:v>41.570026761819804</c:v>
                </c:pt>
                <c:pt idx="31">
                  <c:v>30.401785714285715</c:v>
                </c:pt>
                <c:pt idx="32">
                  <c:v>40.432098765432102</c:v>
                </c:pt>
                <c:pt idx="33">
                  <c:v>95.27145359019265</c:v>
                </c:pt>
                <c:pt idx="34">
                  <c:v>43.419689119170982</c:v>
                </c:pt>
                <c:pt idx="35">
                  <c:v>61.180952380952384</c:v>
                </c:pt>
                <c:pt idx="36">
                  <c:v>82.278481012658233</c:v>
                </c:pt>
                <c:pt idx="37">
                  <c:v>37.891440501043839</c:v>
                </c:pt>
                <c:pt idx="38">
                  <c:v>40.373395565927652</c:v>
                </c:pt>
                <c:pt idx="39">
                  <c:v>40.014164305949009</c:v>
                </c:pt>
                <c:pt idx="40">
                  <c:v>35.019646365422396</c:v>
                </c:pt>
                <c:pt idx="41">
                  <c:v>32.91592128801431</c:v>
                </c:pt>
                <c:pt idx="42">
                  <c:v>34.583952451708768</c:v>
                </c:pt>
                <c:pt idx="43">
                  <c:v>34.065460809646858</c:v>
                </c:pt>
                <c:pt idx="44">
                  <c:v>66.542133665421332</c:v>
                </c:pt>
                <c:pt idx="45">
                  <c:v>82.972136222910223</c:v>
                </c:pt>
                <c:pt idx="46">
                  <c:v>64.759725400457668</c:v>
                </c:pt>
                <c:pt idx="47">
                  <c:v>40.809968847352025</c:v>
                </c:pt>
                <c:pt idx="48">
                  <c:v>45.801033591731269</c:v>
                </c:pt>
                <c:pt idx="49">
                  <c:v>54.984354045596781</c:v>
                </c:pt>
                <c:pt idx="50">
                  <c:v>40.988835725677831</c:v>
                </c:pt>
                <c:pt idx="51">
                  <c:v>37.672465506898618</c:v>
                </c:pt>
                <c:pt idx="52">
                  <c:v>42.771804062126641</c:v>
                </c:pt>
                <c:pt idx="53">
                  <c:v>78.285714285714292</c:v>
                </c:pt>
                <c:pt idx="54">
                  <c:v>35.802469135802468</c:v>
                </c:pt>
                <c:pt idx="55">
                  <c:v>34.591626630061768</c:v>
                </c:pt>
                <c:pt idx="56">
                  <c:v>43.99198931909212</c:v>
                </c:pt>
                <c:pt idx="57">
                  <c:v>35.998498498498499</c:v>
                </c:pt>
                <c:pt idx="58">
                  <c:v>28.264758497316638</c:v>
                </c:pt>
                <c:pt idx="59">
                  <c:v>41.413753361505954</c:v>
                </c:pt>
                <c:pt idx="60">
                  <c:v>38.279830405814657</c:v>
                </c:pt>
                <c:pt idx="61">
                  <c:v>44.122298365840798</c:v>
                </c:pt>
                <c:pt idx="62">
                  <c:v>28.415841584158414</c:v>
                </c:pt>
                <c:pt idx="63">
                  <c:v>28.213166144200628</c:v>
                </c:pt>
                <c:pt idx="64">
                  <c:v>31.632653061224488</c:v>
                </c:pt>
                <c:pt idx="65">
                  <c:v>57.634902411021812</c:v>
                </c:pt>
                <c:pt idx="66">
                  <c:v>65.963431786216603</c:v>
                </c:pt>
                <c:pt idx="67">
                  <c:v>59.171597633136095</c:v>
                </c:pt>
                <c:pt idx="68">
                  <c:v>46.972972972972975</c:v>
                </c:pt>
                <c:pt idx="69">
                  <c:v>52.910330361824855</c:v>
                </c:pt>
                <c:pt idx="70">
                  <c:v>36.995153473344104</c:v>
                </c:pt>
                <c:pt idx="71">
                  <c:v>41.978609625668447</c:v>
                </c:pt>
                <c:pt idx="72">
                  <c:v>40.463576158940398</c:v>
                </c:pt>
                <c:pt idx="73">
                  <c:v>22.40990990990991</c:v>
                </c:pt>
                <c:pt idx="74">
                  <c:v>35.343511450381676</c:v>
                </c:pt>
                <c:pt idx="75">
                  <c:v>51.278195488721806</c:v>
                </c:pt>
                <c:pt idx="76">
                  <c:v>55.201177625122668</c:v>
                </c:pt>
                <c:pt idx="77">
                  <c:v>57.815126050420169</c:v>
                </c:pt>
                <c:pt idx="78">
                  <c:v>51.873767258382642</c:v>
                </c:pt>
                <c:pt idx="79">
                  <c:v>42.535211267605632</c:v>
                </c:pt>
                <c:pt idx="80">
                  <c:v>51.540983606557376</c:v>
                </c:pt>
                <c:pt idx="81">
                  <c:v>40.625</c:v>
                </c:pt>
                <c:pt idx="82">
                  <c:v>47.904811174340402</c:v>
                </c:pt>
                <c:pt idx="83">
                  <c:v>44.525904203323556</c:v>
                </c:pt>
                <c:pt idx="84">
                  <c:v>40.621336459554513</c:v>
                </c:pt>
                <c:pt idx="85">
                  <c:v>40.938416422287389</c:v>
                </c:pt>
                <c:pt idx="86">
                  <c:v>46.500981033355131</c:v>
                </c:pt>
                <c:pt idx="87">
                  <c:v>35.444444444444443</c:v>
                </c:pt>
                <c:pt idx="88">
                  <c:v>38.161993769470406</c:v>
                </c:pt>
                <c:pt idx="89">
                  <c:v>43.880142204164549</c:v>
                </c:pt>
                <c:pt idx="90">
                  <c:v>49.60753532182104</c:v>
                </c:pt>
                <c:pt idx="91">
                  <c:v>51.973284760170003</c:v>
                </c:pt>
                <c:pt idx="92">
                  <c:v>56.155015197568389</c:v>
                </c:pt>
                <c:pt idx="93">
                  <c:v>63.973344439816742</c:v>
                </c:pt>
                <c:pt idx="94">
                  <c:v>66.090611863615138</c:v>
                </c:pt>
                <c:pt idx="95">
                  <c:v>65.528455284552848</c:v>
                </c:pt>
                <c:pt idx="96">
                  <c:v>59.78142076502732</c:v>
                </c:pt>
                <c:pt idx="97">
                  <c:v>47.716799329702553</c:v>
                </c:pt>
                <c:pt idx="98">
                  <c:v>53.094462540716613</c:v>
                </c:pt>
                <c:pt idx="99">
                  <c:v>31.606805293005671</c:v>
                </c:pt>
                <c:pt idx="100">
                  <c:v>36.172295643661279</c:v>
                </c:pt>
                <c:pt idx="101">
                  <c:v>57.703081232492998</c:v>
                </c:pt>
                <c:pt idx="102">
                  <c:v>57.186234817813762</c:v>
                </c:pt>
                <c:pt idx="103">
                  <c:v>100</c:v>
                </c:pt>
                <c:pt idx="104">
                  <c:v>90.865384615384613</c:v>
                </c:pt>
                <c:pt idx="105">
                  <c:v>45.725760183591511</c:v>
                </c:pt>
                <c:pt idx="106">
                  <c:v>38.141592920353979</c:v>
                </c:pt>
                <c:pt idx="107">
                  <c:v>35.991379310344826</c:v>
                </c:pt>
                <c:pt idx="108">
                  <c:v>40.813135261923378</c:v>
                </c:pt>
                <c:pt idx="109">
                  <c:v>37.786561264822133</c:v>
                </c:pt>
                <c:pt idx="110">
                  <c:v>42.659279778393355</c:v>
                </c:pt>
                <c:pt idx="111">
                  <c:v>39.198131568703779</c:v>
                </c:pt>
                <c:pt idx="112">
                  <c:v>39.279869067103107</c:v>
                </c:pt>
                <c:pt idx="113">
                  <c:v>42.108890420399725</c:v>
                </c:pt>
                <c:pt idx="114">
                  <c:v>37.489609310058185</c:v>
                </c:pt>
                <c:pt idx="115">
                  <c:v>35.413899955732624</c:v>
                </c:pt>
                <c:pt idx="116">
                  <c:v>48.197955890263586</c:v>
                </c:pt>
                <c:pt idx="117">
                  <c:v>36.372360844529751</c:v>
                </c:pt>
                <c:pt idx="118">
                  <c:v>0</c:v>
                </c:pt>
                <c:pt idx="119">
                  <c:v>41.97530864197531</c:v>
                </c:pt>
                <c:pt idx="120">
                  <c:v>32.253711201079625</c:v>
                </c:pt>
                <c:pt idx="121">
                  <c:v>51.320918146383718</c:v>
                </c:pt>
                <c:pt idx="122">
                  <c:v>33.550325488232346</c:v>
                </c:pt>
                <c:pt idx="123">
                  <c:v>35.837864557587743</c:v>
                </c:pt>
                <c:pt idx="124">
                  <c:v>43.203883495145632</c:v>
                </c:pt>
                <c:pt idx="125">
                  <c:v>40.560640732265448</c:v>
                </c:pt>
                <c:pt idx="126">
                  <c:v>36.066288704753596</c:v>
                </c:pt>
                <c:pt idx="127">
                  <c:v>34.057301293900181</c:v>
                </c:pt>
                <c:pt idx="128">
                  <c:v>36.285858077503775</c:v>
                </c:pt>
                <c:pt idx="129">
                  <c:v>42.036753445635526</c:v>
                </c:pt>
                <c:pt idx="130">
                  <c:v>70.199587061252586</c:v>
                </c:pt>
                <c:pt idx="131">
                  <c:v>31.971465629053178</c:v>
                </c:pt>
                <c:pt idx="132">
                  <c:v>35.394021739130437</c:v>
                </c:pt>
                <c:pt idx="133">
                  <c:v>35.140700068634182</c:v>
                </c:pt>
                <c:pt idx="134">
                  <c:v>29.351351351351351</c:v>
                </c:pt>
                <c:pt idx="135">
                  <c:v>42.471590909090907</c:v>
                </c:pt>
                <c:pt idx="136">
                  <c:v>55.265700483091784</c:v>
                </c:pt>
                <c:pt idx="137">
                  <c:v>51.10526315789474</c:v>
                </c:pt>
                <c:pt idx="138">
                  <c:v>36.855895196506552</c:v>
                </c:pt>
                <c:pt idx="139">
                  <c:v>34.820209376422397</c:v>
                </c:pt>
                <c:pt idx="140">
                  <c:v>69.944444444444443</c:v>
                </c:pt>
                <c:pt idx="141">
                  <c:v>33.010156971375807</c:v>
                </c:pt>
                <c:pt idx="142">
                  <c:v>40.26290165530672</c:v>
                </c:pt>
                <c:pt idx="143">
                  <c:v>38.359412043622569</c:v>
                </c:pt>
                <c:pt idx="144">
                  <c:v>30.732484076433121</c:v>
                </c:pt>
                <c:pt idx="145">
                  <c:v>37.028301886792455</c:v>
                </c:pt>
                <c:pt idx="146">
                  <c:v>35.288367546432063</c:v>
                </c:pt>
                <c:pt idx="147">
                  <c:v>34.275248560962844</c:v>
                </c:pt>
                <c:pt idx="148">
                  <c:v>38.125802310654684</c:v>
                </c:pt>
                <c:pt idx="149">
                  <c:v>40.745732255166217</c:v>
                </c:pt>
                <c:pt idx="150">
                  <c:v>27.971233913701742</c:v>
                </c:pt>
                <c:pt idx="151">
                  <c:v>28.618602091359385</c:v>
                </c:pt>
                <c:pt idx="152">
                  <c:v>32.336255801959773</c:v>
                </c:pt>
                <c:pt idx="153">
                  <c:v>24.444444444444443</c:v>
                </c:pt>
                <c:pt idx="154">
                  <c:v>28.796498905908095</c:v>
                </c:pt>
                <c:pt idx="155">
                  <c:v>28.420227361818895</c:v>
                </c:pt>
                <c:pt idx="156">
                  <c:v>33.021390374331553</c:v>
                </c:pt>
                <c:pt idx="157">
                  <c:v>53.324468085106382</c:v>
                </c:pt>
                <c:pt idx="158">
                  <c:v>48.549810844892811</c:v>
                </c:pt>
                <c:pt idx="159">
                  <c:v>32.177931831311383</c:v>
                </c:pt>
                <c:pt idx="160">
                  <c:v>44.659300184162063</c:v>
                </c:pt>
                <c:pt idx="161">
                  <c:v>28.372555518727211</c:v>
                </c:pt>
                <c:pt idx="162">
                  <c:v>26.083707025411062</c:v>
                </c:pt>
                <c:pt idx="163">
                  <c:v>27.099236641221374</c:v>
                </c:pt>
                <c:pt idx="164">
                  <c:v>29.520795660036168</c:v>
                </c:pt>
                <c:pt idx="165">
                  <c:v>26.91194708557255</c:v>
                </c:pt>
                <c:pt idx="166">
                  <c:v>22.96983758700696</c:v>
                </c:pt>
                <c:pt idx="167">
                  <c:v>23.950826621449767</c:v>
                </c:pt>
                <c:pt idx="168">
                  <c:v>26.504394861392832</c:v>
                </c:pt>
                <c:pt idx="169">
                  <c:v>22.563417890520693</c:v>
                </c:pt>
                <c:pt idx="170">
                  <c:v>22.906496432594817</c:v>
                </c:pt>
                <c:pt idx="171">
                  <c:v>42.521534847298355</c:v>
                </c:pt>
                <c:pt idx="172">
                  <c:v>34.256694367497694</c:v>
                </c:pt>
                <c:pt idx="173">
                  <c:v>31.412337662337663</c:v>
                </c:pt>
                <c:pt idx="174">
                  <c:v>37.596899224806201</c:v>
                </c:pt>
                <c:pt idx="175">
                  <c:v>35.335276967930028</c:v>
                </c:pt>
                <c:pt idx="176">
                  <c:v>49.561146869514339</c:v>
                </c:pt>
                <c:pt idx="177">
                  <c:v>64.645637034002462</c:v>
                </c:pt>
                <c:pt idx="178">
                  <c:v>31.949058693244741</c:v>
                </c:pt>
                <c:pt idx="179">
                  <c:v>42.149390243902438</c:v>
                </c:pt>
                <c:pt idx="180">
                  <c:v>43.365500603136311</c:v>
                </c:pt>
                <c:pt idx="181">
                  <c:v>26.360225140712945</c:v>
                </c:pt>
              </c:numCache>
            </c:numRef>
          </c:xVal>
          <c:yVal>
            <c:numRef>
              <c:f>'Дума партии'!$AN$2:$AN$184</c:f>
              <c:numCache>
                <c:formatCode>0.0</c:formatCode>
                <c:ptCount val="182"/>
                <c:pt idx="0">
                  <c:v>0.86848635235732008</c:v>
                </c:pt>
                <c:pt idx="1">
                  <c:v>1.1328527291452111</c:v>
                </c:pt>
                <c:pt idx="2">
                  <c:v>0.64043915827996345</c:v>
                </c:pt>
                <c:pt idx="3">
                  <c:v>1.3366750208855471</c:v>
                </c:pt>
                <c:pt idx="4">
                  <c:v>2.2678185745140387</c:v>
                </c:pt>
                <c:pt idx="5">
                  <c:v>1.3712047012732616</c:v>
                </c:pt>
                <c:pt idx="6">
                  <c:v>1.9337016574585635</c:v>
                </c:pt>
                <c:pt idx="7">
                  <c:v>1.0164190774042221</c:v>
                </c:pt>
                <c:pt idx="8">
                  <c:v>1.5509103169251517</c:v>
                </c:pt>
                <c:pt idx="9">
                  <c:v>2.0066889632107023</c:v>
                </c:pt>
                <c:pt idx="10">
                  <c:v>2.3688663282571913</c:v>
                </c:pt>
                <c:pt idx="11">
                  <c:v>0.92165898617511521</c:v>
                </c:pt>
                <c:pt idx="12">
                  <c:v>1.2152777777777777</c:v>
                </c:pt>
                <c:pt idx="13">
                  <c:v>2.2592152199762188</c:v>
                </c:pt>
                <c:pt idx="14">
                  <c:v>2.5423728813559321</c:v>
                </c:pt>
                <c:pt idx="15">
                  <c:v>2.3140495867768593</c:v>
                </c:pt>
                <c:pt idx="16">
                  <c:v>0.9569377990430622</c:v>
                </c:pt>
                <c:pt idx="17">
                  <c:v>3.3175355450236967</c:v>
                </c:pt>
                <c:pt idx="18">
                  <c:v>1.4336917562724014</c:v>
                </c:pt>
                <c:pt idx="19">
                  <c:v>1.7137096774193548</c:v>
                </c:pt>
                <c:pt idx="20">
                  <c:v>3.3472803347280333</c:v>
                </c:pt>
                <c:pt idx="21">
                  <c:v>0.8040201005025126</c:v>
                </c:pt>
                <c:pt idx="22">
                  <c:v>3.6784741144414168</c:v>
                </c:pt>
                <c:pt idx="23">
                  <c:v>0.87609511889862324</c:v>
                </c:pt>
                <c:pt idx="24">
                  <c:v>1.6415868673050615</c:v>
                </c:pt>
                <c:pt idx="25">
                  <c:v>1.9656019656019657</c:v>
                </c:pt>
                <c:pt idx="26">
                  <c:v>2.0054694621695535</c:v>
                </c:pt>
                <c:pt idx="27">
                  <c:v>1.4577259475218658</c:v>
                </c:pt>
                <c:pt idx="28">
                  <c:v>2.1256931608133085</c:v>
                </c:pt>
                <c:pt idx="29">
                  <c:v>2.197802197802198</c:v>
                </c:pt>
                <c:pt idx="30">
                  <c:v>3.0042918454935621</c:v>
                </c:pt>
                <c:pt idx="31">
                  <c:v>3.0837004405286343</c:v>
                </c:pt>
                <c:pt idx="32">
                  <c:v>2.4809160305343512</c:v>
                </c:pt>
                <c:pt idx="33">
                  <c:v>1.8416206261510129</c:v>
                </c:pt>
                <c:pt idx="34">
                  <c:v>0.71599045346062051</c:v>
                </c:pt>
                <c:pt idx="35">
                  <c:v>1.6189290161892902</c:v>
                </c:pt>
                <c:pt idx="36">
                  <c:v>2.1245421245421245</c:v>
                </c:pt>
                <c:pt idx="37">
                  <c:v>1.3774104683195592</c:v>
                </c:pt>
                <c:pt idx="38">
                  <c:v>1.1560693641618498</c:v>
                </c:pt>
                <c:pt idx="39">
                  <c:v>1.5929203539823009</c:v>
                </c:pt>
                <c:pt idx="40">
                  <c:v>2.7181688125894135</c:v>
                </c:pt>
                <c:pt idx="41">
                  <c:v>1.0869565217391304</c:v>
                </c:pt>
                <c:pt idx="42">
                  <c:v>2.0408163265306123</c:v>
                </c:pt>
                <c:pt idx="43">
                  <c:v>1.8963337547408343</c:v>
                </c:pt>
                <c:pt idx="44">
                  <c:v>0.68664169787765295</c:v>
                </c:pt>
                <c:pt idx="45">
                  <c:v>0.5612722170252572</c:v>
                </c:pt>
                <c:pt idx="46">
                  <c:v>0.70671378091872794</c:v>
                </c:pt>
                <c:pt idx="47">
                  <c:v>1.0687022900763359</c:v>
                </c:pt>
                <c:pt idx="48">
                  <c:v>2.397743300423131</c:v>
                </c:pt>
                <c:pt idx="49">
                  <c:v>1.0699588477366255</c:v>
                </c:pt>
                <c:pt idx="50">
                  <c:v>0.90791180285343709</c:v>
                </c:pt>
                <c:pt idx="51">
                  <c:v>1.5923566878980893</c:v>
                </c:pt>
                <c:pt idx="52">
                  <c:v>1.5363128491620113</c:v>
                </c:pt>
                <c:pt idx="53">
                  <c:v>0.48661800486618007</c:v>
                </c:pt>
                <c:pt idx="54">
                  <c:v>2.1943573667711598</c:v>
                </c:pt>
                <c:pt idx="55">
                  <c:v>3.373015873015873</c:v>
                </c:pt>
                <c:pt idx="56">
                  <c:v>4.0971168437025796</c:v>
                </c:pt>
                <c:pt idx="57">
                  <c:v>3.441084462982273</c:v>
                </c:pt>
                <c:pt idx="58">
                  <c:v>4.8101265822784809</c:v>
                </c:pt>
                <c:pt idx="59">
                  <c:v>1.6697588126159555</c:v>
                </c:pt>
                <c:pt idx="60">
                  <c:v>3.1645569620253164</c:v>
                </c:pt>
                <c:pt idx="61">
                  <c:v>1.1947431302270013</c:v>
                </c:pt>
                <c:pt idx="62">
                  <c:v>1.9163763066202091</c:v>
                </c:pt>
                <c:pt idx="63">
                  <c:v>3.3333333333333335</c:v>
                </c:pt>
                <c:pt idx="64">
                  <c:v>2.795698924731183</c:v>
                </c:pt>
                <c:pt idx="65">
                  <c:v>1.6600265604249669</c:v>
                </c:pt>
                <c:pt idx="66">
                  <c:v>1.279317697228145</c:v>
                </c:pt>
                <c:pt idx="67">
                  <c:v>1.25</c:v>
                </c:pt>
                <c:pt idx="68">
                  <c:v>1.0392609699769053</c:v>
                </c:pt>
                <c:pt idx="69">
                  <c:v>0.89197224975222988</c:v>
                </c:pt>
                <c:pt idx="70">
                  <c:v>2.1834061135371181</c:v>
                </c:pt>
                <c:pt idx="71">
                  <c:v>2.3404255319148937</c:v>
                </c:pt>
                <c:pt idx="72">
                  <c:v>1.6611295681063123</c:v>
                </c:pt>
                <c:pt idx="73">
                  <c:v>3.2663316582914574</c:v>
                </c:pt>
                <c:pt idx="74">
                  <c:v>3.0237580993520519</c:v>
                </c:pt>
                <c:pt idx="75">
                  <c:v>1.6129032258064515</c:v>
                </c:pt>
                <c:pt idx="76">
                  <c:v>1.4234875444839858</c:v>
                </c:pt>
                <c:pt idx="77">
                  <c:v>1.7628205128205128</c:v>
                </c:pt>
                <c:pt idx="78">
                  <c:v>1.5228426395939085</c:v>
                </c:pt>
                <c:pt idx="79">
                  <c:v>0.66225165562913912</c:v>
                </c:pt>
                <c:pt idx="80">
                  <c:v>1.272264631043257</c:v>
                </c:pt>
                <c:pt idx="81">
                  <c:v>1.3377926421404682</c:v>
                </c:pt>
                <c:pt idx="82">
                  <c:v>1.5200868621064061</c:v>
                </c:pt>
                <c:pt idx="83">
                  <c:v>2.1953896816684964</c:v>
                </c:pt>
                <c:pt idx="84">
                  <c:v>0.86580086580086579</c:v>
                </c:pt>
                <c:pt idx="85">
                  <c:v>2.1489971346704873</c:v>
                </c:pt>
                <c:pt idx="86">
                  <c:v>1.5471167369901546</c:v>
                </c:pt>
                <c:pt idx="87">
                  <c:v>1.7241379310344827</c:v>
                </c:pt>
                <c:pt idx="88">
                  <c:v>2.4745269286754001</c:v>
                </c:pt>
                <c:pt idx="89">
                  <c:v>1.6203703703703705</c:v>
                </c:pt>
                <c:pt idx="90">
                  <c:v>1.0548523206751055</c:v>
                </c:pt>
                <c:pt idx="91">
                  <c:v>1.7523364485981308</c:v>
                </c:pt>
                <c:pt idx="92">
                  <c:v>1.6238159675236807</c:v>
                </c:pt>
                <c:pt idx="93">
                  <c:v>0.5859375</c:v>
                </c:pt>
                <c:pt idx="94">
                  <c:v>1.556970983722576</c:v>
                </c:pt>
                <c:pt idx="95">
                  <c:v>0.95238095238095233</c:v>
                </c:pt>
                <c:pt idx="96">
                  <c:v>1.0968921389396709</c:v>
                </c:pt>
                <c:pt idx="97">
                  <c:v>1.1413520632133451</c:v>
                </c:pt>
                <c:pt idx="98">
                  <c:v>1.4723926380368098</c:v>
                </c:pt>
                <c:pt idx="99">
                  <c:v>1.7942583732057416</c:v>
                </c:pt>
                <c:pt idx="100">
                  <c:v>2.5710419485791611</c:v>
                </c:pt>
                <c:pt idx="101">
                  <c:v>1.3934426229508197</c:v>
                </c:pt>
                <c:pt idx="102">
                  <c:v>1.9469026548672566</c:v>
                </c:pt>
                <c:pt idx="103">
                  <c:v>0.34482758620689657</c:v>
                </c:pt>
                <c:pt idx="104">
                  <c:v>4.301075268817204</c:v>
                </c:pt>
                <c:pt idx="105">
                  <c:v>3.0112923462986196</c:v>
                </c:pt>
                <c:pt idx="106">
                  <c:v>1.8561484918793503</c:v>
                </c:pt>
                <c:pt idx="107">
                  <c:v>2.9940119760479043</c:v>
                </c:pt>
                <c:pt idx="108">
                  <c:v>2.5242718446601944</c:v>
                </c:pt>
                <c:pt idx="109">
                  <c:v>2.510460251046025</c:v>
                </c:pt>
                <c:pt idx="110">
                  <c:v>1.3458950201884252</c:v>
                </c:pt>
                <c:pt idx="111">
                  <c:v>3.2124352331606216</c:v>
                </c:pt>
                <c:pt idx="112">
                  <c:v>4.791666666666667</c:v>
                </c:pt>
                <c:pt idx="113">
                  <c:v>1.4729950900163666</c:v>
                </c:pt>
                <c:pt idx="114">
                  <c:v>3.1180400890868598</c:v>
                </c:pt>
                <c:pt idx="115">
                  <c:v>2.5031289111389237</c:v>
                </c:pt>
                <c:pt idx="116">
                  <c:v>2.3569023569023568</c:v>
                </c:pt>
                <c:pt idx="117">
                  <c:v>2.6385224274406331</c:v>
                </c:pt>
                <c:pt idx="118">
                  <c:v>0</c:v>
                </c:pt>
                <c:pt idx="119">
                  <c:v>1.3738959764474976</c:v>
                </c:pt>
                <c:pt idx="120">
                  <c:v>1.8131101813110182</c:v>
                </c:pt>
                <c:pt idx="121">
                  <c:v>1.6033755274261603</c:v>
                </c:pt>
                <c:pt idx="122">
                  <c:v>3.1343283582089554</c:v>
                </c:pt>
                <c:pt idx="123">
                  <c:v>2.9166666666666665</c:v>
                </c:pt>
                <c:pt idx="124">
                  <c:v>3.0788177339901477</c:v>
                </c:pt>
                <c:pt idx="125">
                  <c:v>2.8248587570621471</c:v>
                </c:pt>
                <c:pt idx="126">
                  <c:v>3.5066505441354292</c:v>
                </c:pt>
                <c:pt idx="127">
                  <c:v>3.2564450474898234</c:v>
                </c:pt>
                <c:pt idx="128">
                  <c:v>4.160887656033287</c:v>
                </c:pt>
                <c:pt idx="129">
                  <c:v>2.9143897996357011</c:v>
                </c:pt>
                <c:pt idx="130">
                  <c:v>4.2154566744730682</c:v>
                </c:pt>
                <c:pt idx="131">
                  <c:v>5.2738336713995944</c:v>
                </c:pt>
                <c:pt idx="132">
                  <c:v>2.6871401151631478</c:v>
                </c:pt>
                <c:pt idx="133">
                  <c:v>2.9296875</c:v>
                </c:pt>
                <c:pt idx="134">
                  <c:v>5.3406998158379375</c:v>
                </c:pt>
                <c:pt idx="135">
                  <c:v>3.2329988851727984</c:v>
                </c:pt>
                <c:pt idx="136">
                  <c:v>1.3986013986013985</c:v>
                </c:pt>
                <c:pt idx="137">
                  <c:v>1.4432989690721649</c:v>
                </c:pt>
                <c:pt idx="138">
                  <c:v>3.1094527363184081</c:v>
                </c:pt>
                <c:pt idx="139">
                  <c:v>2.8758169934640523</c:v>
                </c:pt>
                <c:pt idx="140">
                  <c:v>4.8451151707704527</c:v>
                </c:pt>
                <c:pt idx="141">
                  <c:v>2.7972027972027971</c:v>
                </c:pt>
                <c:pt idx="142">
                  <c:v>2.3543990086741018</c:v>
                </c:pt>
                <c:pt idx="143">
                  <c:v>3.515625</c:v>
                </c:pt>
                <c:pt idx="144">
                  <c:v>3.3678756476683938</c:v>
                </c:pt>
                <c:pt idx="145">
                  <c:v>5.1172707889125801</c:v>
                </c:pt>
                <c:pt idx="146">
                  <c:v>2.770083102493075</c:v>
                </c:pt>
                <c:pt idx="147">
                  <c:v>3.5114503816793894</c:v>
                </c:pt>
                <c:pt idx="148">
                  <c:v>3.0474040632054176</c:v>
                </c:pt>
                <c:pt idx="149">
                  <c:v>4.0929203539823007</c:v>
                </c:pt>
                <c:pt idx="150">
                  <c:v>4.0595399188092021</c:v>
                </c:pt>
                <c:pt idx="151">
                  <c:v>5.1923076923076925</c:v>
                </c:pt>
                <c:pt idx="152">
                  <c:v>5.2631578947368425</c:v>
                </c:pt>
                <c:pt idx="153">
                  <c:v>1.7786561264822134</c:v>
                </c:pt>
                <c:pt idx="154">
                  <c:v>5.3191489361702127</c:v>
                </c:pt>
                <c:pt idx="155">
                  <c:v>5.5172413793103452</c:v>
                </c:pt>
                <c:pt idx="156">
                  <c:v>1.5182186234817814</c:v>
                </c:pt>
                <c:pt idx="157">
                  <c:v>2.4937655860349128</c:v>
                </c:pt>
                <c:pt idx="158">
                  <c:v>3.9370078740157481</c:v>
                </c:pt>
                <c:pt idx="159">
                  <c:v>2.7272727272727271</c:v>
                </c:pt>
                <c:pt idx="160">
                  <c:v>2.4742268041237114</c:v>
                </c:pt>
                <c:pt idx="161">
                  <c:v>7.7192982456140351</c:v>
                </c:pt>
                <c:pt idx="162">
                  <c:v>5.0143266475644701</c:v>
                </c:pt>
                <c:pt idx="163">
                  <c:v>5.164319248826291</c:v>
                </c:pt>
                <c:pt idx="164">
                  <c:v>3.215926493108729</c:v>
                </c:pt>
                <c:pt idx="165">
                  <c:v>2.6113671274961598</c:v>
                </c:pt>
                <c:pt idx="166">
                  <c:v>3.0425963488843815</c:v>
                </c:pt>
                <c:pt idx="167">
                  <c:v>4.2704626334519569</c:v>
                </c:pt>
                <c:pt idx="168">
                  <c:v>2.9336734693877551</c:v>
                </c:pt>
                <c:pt idx="169">
                  <c:v>3.1055900621118013</c:v>
                </c:pt>
                <c:pt idx="170">
                  <c:v>4.7540983606557381</c:v>
                </c:pt>
                <c:pt idx="171">
                  <c:v>2.7624309392265194</c:v>
                </c:pt>
                <c:pt idx="172">
                  <c:v>6.7385444743935308</c:v>
                </c:pt>
                <c:pt idx="173">
                  <c:v>2.5839793281653747</c:v>
                </c:pt>
                <c:pt idx="174">
                  <c:v>2.8350515463917527</c:v>
                </c:pt>
                <c:pt idx="175">
                  <c:v>1.8151815181518152</c:v>
                </c:pt>
                <c:pt idx="176">
                  <c:v>1.8979833926453145</c:v>
                </c:pt>
                <c:pt idx="177">
                  <c:v>1.5842839036755387</c:v>
                </c:pt>
                <c:pt idx="178">
                  <c:v>1.9064124783362217</c:v>
                </c:pt>
                <c:pt idx="179">
                  <c:v>1.8083182640144666</c:v>
                </c:pt>
                <c:pt idx="180">
                  <c:v>1.1126564673157162</c:v>
                </c:pt>
                <c:pt idx="181">
                  <c:v>6.0498220640569391</c:v>
                </c:pt>
              </c:numCache>
            </c:numRef>
          </c:yVal>
          <c:bubbleSize>
            <c:numRef>
              <c:f>'Дума партии'!$J$2:$J$184</c:f>
              <c:numCache>
                <c:formatCode>General</c:formatCode>
                <c:ptCount val="182"/>
                <c:pt idx="0">
                  <c:v>2451</c:v>
                </c:pt>
                <c:pt idx="1">
                  <c:v>1779</c:v>
                </c:pt>
                <c:pt idx="2">
                  <c:v>1942</c:v>
                </c:pt>
                <c:pt idx="3">
                  <c:v>2110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422</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2240</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1292</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290</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2226</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3017</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6-36CE-4AFB-9313-7A7B86C5B0D3}"/>
            </c:ext>
          </c:extLst>
        </c:ser>
        <c:ser>
          <c:idx val="15"/>
          <c:order val="7"/>
          <c:tx>
            <c:strRef>
              <c:f>'Дума партии'!$AP$1</c:f>
              <c:strCache>
                <c:ptCount val="1"/>
                <c:pt idx="0">
                  <c:v>Роста</c:v>
                </c:pt>
              </c:strCache>
            </c:strRef>
          </c:tx>
          <c:spPr>
            <a:solidFill>
              <a:srgbClr val="777777">
                <a:alpha val="50000"/>
              </a:srgbClr>
            </a:solidFill>
            <a:ln w="25400">
              <a:noFill/>
            </a:ln>
            <a:effectLst/>
          </c:spPr>
          <c:invertIfNegative val="0"/>
          <c:xVal>
            <c:numRef>
              <c:f>'Дума партии'!$O$2:$O$184</c:f>
              <c:numCache>
                <c:formatCode>0.0</c:formatCode>
                <c:ptCount val="182"/>
                <c:pt idx="0">
                  <c:v>65.769073847409217</c:v>
                </c:pt>
                <c:pt idx="1">
                  <c:v>54.693648116919618</c:v>
                </c:pt>
                <c:pt idx="2">
                  <c:v>56.333676622039135</c:v>
                </c:pt>
                <c:pt idx="3">
                  <c:v>56.919431279620852</c:v>
                </c:pt>
                <c:pt idx="4">
                  <c:v>49.812130971551262</c:v>
                </c:pt>
                <c:pt idx="5">
                  <c:v>52.610030706243606</c:v>
                </c:pt>
                <c:pt idx="6">
                  <c:v>62.290927521540802</c:v>
                </c:pt>
                <c:pt idx="7">
                  <c:v>71.452328159645234</c:v>
                </c:pt>
                <c:pt idx="8">
                  <c:v>73.707753479125245</c:v>
                </c:pt>
                <c:pt idx="9">
                  <c:v>38.504037399065027</c:v>
                </c:pt>
                <c:pt idx="10">
                  <c:v>26.023778071334213</c:v>
                </c:pt>
                <c:pt idx="11">
                  <c:v>73.80952380952381</c:v>
                </c:pt>
                <c:pt idx="12">
                  <c:v>52.41128298453139</c:v>
                </c:pt>
                <c:pt idx="13">
                  <c:v>35.041666666666664</c:v>
                </c:pt>
                <c:pt idx="14">
                  <c:v>48.479868529170091</c:v>
                </c:pt>
                <c:pt idx="15">
                  <c:v>30.726256983240223</c:v>
                </c:pt>
                <c:pt idx="16">
                  <c:v>49.526066350710899</c:v>
                </c:pt>
                <c:pt idx="17">
                  <c:v>34.267413931144915</c:v>
                </c:pt>
                <c:pt idx="18">
                  <c:v>48.776223776223773</c:v>
                </c:pt>
                <c:pt idx="19">
                  <c:v>36.920222634508349</c:v>
                </c:pt>
                <c:pt idx="20">
                  <c:v>26.006528835690968</c:v>
                </c:pt>
                <c:pt idx="21">
                  <c:v>47.85954785954786</c:v>
                </c:pt>
                <c:pt idx="22">
                  <c:v>33.182844243792324</c:v>
                </c:pt>
                <c:pt idx="23">
                  <c:v>38.321342925659472</c:v>
                </c:pt>
                <c:pt idx="24">
                  <c:v>32.349052446011456</c:v>
                </c:pt>
                <c:pt idx="25">
                  <c:v>38.541666666666664</c:v>
                </c:pt>
                <c:pt idx="26">
                  <c:v>54.414682539682538</c:v>
                </c:pt>
                <c:pt idx="27">
                  <c:v>44.678111587982833</c:v>
                </c:pt>
                <c:pt idx="28">
                  <c:v>48.960216998191683</c:v>
                </c:pt>
                <c:pt idx="29">
                  <c:v>36.23435722411832</c:v>
                </c:pt>
                <c:pt idx="30">
                  <c:v>41.570026761819804</c:v>
                </c:pt>
                <c:pt idx="31">
                  <c:v>30.401785714285715</c:v>
                </c:pt>
                <c:pt idx="32">
                  <c:v>40.432098765432102</c:v>
                </c:pt>
                <c:pt idx="33">
                  <c:v>95.27145359019265</c:v>
                </c:pt>
                <c:pt idx="34">
                  <c:v>43.419689119170982</c:v>
                </c:pt>
                <c:pt idx="35">
                  <c:v>61.180952380952384</c:v>
                </c:pt>
                <c:pt idx="36">
                  <c:v>82.278481012658233</c:v>
                </c:pt>
                <c:pt idx="37">
                  <c:v>37.891440501043839</c:v>
                </c:pt>
                <c:pt idx="38">
                  <c:v>40.373395565927652</c:v>
                </c:pt>
                <c:pt idx="39">
                  <c:v>40.014164305949009</c:v>
                </c:pt>
                <c:pt idx="40">
                  <c:v>35.019646365422396</c:v>
                </c:pt>
                <c:pt idx="41">
                  <c:v>32.91592128801431</c:v>
                </c:pt>
                <c:pt idx="42">
                  <c:v>34.583952451708768</c:v>
                </c:pt>
                <c:pt idx="43">
                  <c:v>34.065460809646858</c:v>
                </c:pt>
                <c:pt idx="44">
                  <c:v>66.542133665421332</c:v>
                </c:pt>
                <c:pt idx="45">
                  <c:v>82.972136222910223</c:v>
                </c:pt>
                <c:pt idx="46">
                  <c:v>64.759725400457668</c:v>
                </c:pt>
                <c:pt idx="47">
                  <c:v>40.809968847352025</c:v>
                </c:pt>
                <c:pt idx="48">
                  <c:v>45.801033591731269</c:v>
                </c:pt>
                <c:pt idx="49">
                  <c:v>54.984354045596781</c:v>
                </c:pt>
                <c:pt idx="50">
                  <c:v>40.988835725677831</c:v>
                </c:pt>
                <c:pt idx="51">
                  <c:v>37.672465506898618</c:v>
                </c:pt>
                <c:pt idx="52">
                  <c:v>42.771804062126641</c:v>
                </c:pt>
                <c:pt idx="53">
                  <c:v>78.285714285714292</c:v>
                </c:pt>
                <c:pt idx="54">
                  <c:v>35.802469135802468</c:v>
                </c:pt>
                <c:pt idx="55">
                  <c:v>34.591626630061768</c:v>
                </c:pt>
                <c:pt idx="56">
                  <c:v>43.99198931909212</c:v>
                </c:pt>
                <c:pt idx="57">
                  <c:v>35.998498498498499</c:v>
                </c:pt>
                <c:pt idx="58">
                  <c:v>28.264758497316638</c:v>
                </c:pt>
                <c:pt idx="59">
                  <c:v>41.413753361505954</c:v>
                </c:pt>
                <c:pt idx="60">
                  <c:v>38.279830405814657</c:v>
                </c:pt>
                <c:pt idx="61">
                  <c:v>44.122298365840798</c:v>
                </c:pt>
                <c:pt idx="62">
                  <c:v>28.415841584158414</c:v>
                </c:pt>
                <c:pt idx="63">
                  <c:v>28.213166144200628</c:v>
                </c:pt>
                <c:pt idx="64">
                  <c:v>31.632653061224488</c:v>
                </c:pt>
                <c:pt idx="65">
                  <c:v>57.634902411021812</c:v>
                </c:pt>
                <c:pt idx="66">
                  <c:v>65.963431786216603</c:v>
                </c:pt>
                <c:pt idx="67">
                  <c:v>59.171597633136095</c:v>
                </c:pt>
                <c:pt idx="68">
                  <c:v>46.972972972972975</c:v>
                </c:pt>
                <c:pt idx="69">
                  <c:v>52.910330361824855</c:v>
                </c:pt>
                <c:pt idx="70">
                  <c:v>36.995153473344104</c:v>
                </c:pt>
                <c:pt idx="71">
                  <c:v>41.978609625668447</c:v>
                </c:pt>
                <c:pt idx="72">
                  <c:v>40.463576158940398</c:v>
                </c:pt>
                <c:pt idx="73">
                  <c:v>22.40990990990991</c:v>
                </c:pt>
                <c:pt idx="74">
                  <c:v>35.343511450381676</c:v>
                </c:pt>
                <c:pt idx="75">
                  <c:v>51.278195488721806</c:v>
                </c:pt>
                <c:pt idx="76">
                  <c:v>55.201177625122668</c:v>
                </c:pt>
                <c:pt idx="77">
                  <c:v>57.815126050420169</c:v>
                </c:pt>
                <c:pt idx="78">
                  <c:v>51.873767258382642</c:v>
                </c:pt>
                <c:pt idx="79">
                  <c:v>42.535211267605632</c:v>
                </c:pt>
                <c:pt idx="80">
                  <c:v>51.540983606557376</c:v>
                </c:pt>
                <c:pt idx="81">
                  <c:v>40.625</c:v>
                </c:pt>
                <c:pt idx="82">
                  <c:v>47.904811174340402</c:v>
                </c:pt>
                <c:pt idx="83">
                  <c:v>44.525904203323556</c:v>
                </c:pt>
                <c:pt idx="84">
                  <c:v>40.621336459554513</c:v>
                </c:pt>
                <c:pt idx="85">
                  <c:v>40.938416422287389</c:v>
                </c:pt>
                <c:pt idx="86">
                  <c:v>46.500981033355131</c:v>
                </c:pt>
                <c:pt idx="87">
                  <c:v>35.444444444444443</c:v>
                </c:pt>
                <c:pt idx="88">
                  <c:v>38.161993769470406</c:v>
                </c:pt>
                <c:pt idx="89">
                  <c:v>43.880142204164549</c:v>
                </c:pt>
                <c:pt idx="90">
                  <c:v>49.60753532182104</c:v>
                </c:pt>
                <c:pt idx="91">
                  <c:v>51.973284760170003</c:v>
                </c:pt>
                <c:pt idx="92">
                  <c:v>56.155015197568389</c:v>
                </c:pt>
                <c:pt idx="93">
                  <c:v>63.973344439816742</c:v>
                </c:pt>
                <c:pt idx="94">
                  <c:v>66.090611863615138</c:v>
                </c:pt>
                <c:pt idx="95">
                  <c:v>65.528455284552848</c:v>
                </c:pt>
                <c:pt idx="96">
                  <c:v>59.78142076502732</c:v>
                </c:pt>
                <c:pt idx="97">
                  <c:v>47.716799329702553</c:v>
                </c:pt>
                <c:pt idx="98">
                  <c:v>53.094462540716613</c:v>
                </c:pt>
                <c:pt idx="99">
                  <c:v>31.606805293005671</c:v>
                </c:pt>
                <c:pt idx="100">
                  <c:v>36.172295643661279</c:v>
                </c:pt>
                <c:pt idx="101">
                  <c:v>57.703081232492998</c:v>
                </c:pt>
                <c:pt idx="102">
                  <c:v>57.186234817813762</c:v>
                </c:pt>
                <c:pt idx="103">
                  <c:v>100</c:v>
                </c:pt>
                <c:pt idx="104">
                  <c:v>90.865384615384613</c:v>
                </c:pt>
                <c:pt idx="105">
                  <c:v>45.725760183591511</c:v>
                </c:pt>
                <c:pt idx="106">
                  <c:v>38.141592920353979</c:v>
                </c:pt>
                <c:pt idx="107">
                  <c:v>35.991379310344826</c:v>
                </c:pt>
                <c:pt idx="108">
                  <c:v>40.813135261923378</c:v>
                </c:pt>
                <c:pt idx="109">
                  <c:v>37.786561264822133</c:v>
                </c:pt>
                <c:pt idx="110">
                  <c:v>42.659279778393355</c:v>
                </c:pt>
                <c:pt idx="111">
                  <c:v>39.198131568703779</c:v>
                </c:pt>
                <c:pt idx="112">
                  <c:v>39.279869067103107</c:v>
                </c:pt>
                <c:pt idx="113">
                  <c:v>42.108890420399725</c:v>
                </c:pt>
                <c:pt idx="114">
                  <c:v>37.489609310058185</c:v>
                </c:pt>
                <c:pt idx="115">
                  <c:v>35.413899955732624</c:v>
                </c:pt>
                <c:pt idx="116">
                  <c:v>48.197955890263586</c:v>
                </c:pt>
                <c:pt idx="117">
                  <c:v>36.372360844529751</c:v>
                </c:pt>
                <c:pt idx="118">
                  <c:v>0</c:v>
                </c:pt>
                <c:pt idx="119">
                  <c:v>41.97530864197531</c:v>
                </c:pt>
                <c:pt idx="120">
                  <c:v>32.253711201079625</c:v>
                </c:pt>
                <c:pt idx="121">
                  <c:v>51.320918146383718</c:v>
                </c:pt>
                <c:pt idx="122">
                  <c:v>33.550325488232346</c:v>
                </c:pt>
                <c:pt idx="123">
                  <c:v>35.837864557587743</c:v>
                </c:pt>
                <c:pt idx="124">
                  <c:v>43.203883495145632</c:v>
                </c:pt>
                <c:pt idx="125">
                  <c:v>40.560640732265448</c:v>
                </c:pt>
                <c:pt idx="126">
                  <c:v>36.066288704753596</c:v>
                </c:pt>
                <c:pt idx="127">
                  <c:v>34.057301293900181</c:v>
                </c:pt>
                <c:pt idx="128">
                  <c:v>36.285858077503775</c:v>
                </c:pt>
                <c:pt idx="129">
                  <c:v>42.036753445635526</c:v>
                </c:pt>
                <c:pt idx="130">
                  <c:v>70.199587061252586</c:v>
                </c:pt>
                <c:pt idx="131">
                  <c:v>31.971465629053178</c:v>
                </c:pt>
                <c:pt idx="132">
                  <c:v>35.394021739130437</c:v>
                </c:pt>
                <c:pt idx="133">
                  <c:v>35.140700068634182</c:v>
                </c:pt>
                <c:pt idx="134">
                  <c:v>29.351351351351351</c:v>
                </c:pt>
                <c:pt idx="135">
                  <c:v>42.471590909090907</c:v>
                </c:pt>
                <c:pt idx="136">
                  <c:v>55.265700483091784</c:v>
                </c:pt>
                <c:pt idx="137">
                  <c:v>51.10526315789474</c:v>
                </c:pt>
                <c:pt idx="138">
                  <c:v>36.855895196506552</c:v>
                </c:pt>
                <c:pt idx="139">
                  <c:v>34.820209376422397</c:v>
                </c:pt>
                <c:pt idx="140">
                  <c:v>69.944444444444443</c:v>
                </c:pt>
                <c:pt idx="141">
                  <c:v>33.010156971375807</c:v>
                </c:pt>
                <c:pt idx="142">
                  <c:v>40.26290165530672</c:v>
                </c:pt>
                <c:pt idx="143">
                  <c:v>38.359412043622569</c:v>
                </c:pt>
                <c:pt idx="144">
                  <c:v>30.732484076433121</c:v>
                </c:pt>
                <c:pt idx="145">
                  <c:v>37.028301886792455</c:v>
                </c:pt>
                <c:pt idx="146">
                  <c:v>35.288367546432063</c:v>
                </c:pt>
                <c:pt idx="147">
                  <c:v>34.275248560962844</c:v>
                </c:pt>
                <c:pt idx="148">
                  <c:v>38.125802310654684</c:v>
                </c:pt>
                <c:pt idx="149">
                  <c:v>40.745732255166217</c:v>
                </c:pt>
                <c:pt idx="150">
                  <c:v>27.971233913701742</c:v>
                </c:pt>
                <c:pt idx="151">
                  <c:v>28.618602091359385</c:v>
                </c:pt>
                <c:pt idx="152">
                  <c:v>32.336255801959773</c:v>
                </c:pt>
                <c:pt idx="153">
                  <c:v>24.444444444444443</c:v>
                </c:pt>
                <c:pt idx="154">
                  <c:v>28.796498905908095</c:v>
                </c:pt>
                <c:pt idx="155">
                  <c:v>28.420227361818895</c:v>
                </c:pt>
                <c:pt idx="156">
                  <c:v>33.021390374331553</c:v>
                </c:pt>
                <c:pt idx="157">
                  <c:v>53.324468085106382</c:v>
                </c:pt>
                <c:pt idx="158">
                  <c:v>48.549810844892811</c:v>
                </c:pt>
                <c:pt idx="159">
                  <c:v>32.177931831311383</c:v>
                </c:pt>
                <c:pt idx="160">
                  <c:v>44.659300184162063</c:v>
                </c:pt>
                <c:pt idx="161">
                  <c:v>28.372555518727211</c:v>
                </c:pt>
                <c:pt idx="162">
                  <c:v>26.083707025411062</c:v>
                </c:pt>
                <c:pt idx="163">
                  <c:v>27.099236641221374</c:v>
                </c:pt>
                <c:pt idx="164">
                  <c:v>29.520795660036168</c:v>
                </c:pt>
                <c:pt idx="165">
                  <c:v>26.91194708557255</c:v>
                </c:pt>
                <c:pt idx="166">
                  <c:v>22.96983758700696</c:v>
                </c:pt>
                <c:pt idx="167">
                  <c:v>23.950826621449767</c:v>
                </c:pt>
                <c:pt idx="168">
                  <c:v>26.504394861392832</c:v>
                </c:pt>
                <c:pt idx="169">
                  <c:v>22.563417890520693</c:v>
                </c:pt>
                <c:pt idx="170">
                  <c:v>22.906496432594817</c:v>
                </c:pt>
                <c:pt idx="171">
                  <c:v>42.521534847298355</c:v>
                </c:pt>
                <c:pt idx="172">
                  <c:v>34.256694367497694</c:v>
                </c:pt>
                <c:pt idx="173">
                  <c:v>31.412337662337663</c:v>
                </c:pt>
                <c:pt idx="174">
                  <c:v>37.596899224806201</c:v>
                </c:pt>
                <c:pt idx="175">
                  <c:v>35.335276967930028</c:v>
                </c:pt>
                <c:pt idx="176">
                  <c:v>49.561146869514339</c:v>
                </c:pt>
                <c:pt idx="177">
                  <c:v>64.645637034002462</c:v>
                </c:pt>
                <c:pt idx="178">
                  <c:v>31.949058693244741</c:v>
                </c:pt>
                <c:pt idx="179">
                  <c:v>42.149390243902438</c:v>
                </c:pt>
                <c:pt idx="180">
                  <c:v>43.365500603136311</c:v>
                </c:pt>
                <c:pt idx="181">
                  <c:v>26.360225140712945</c:v>
                </c:pt>
              </c:numCache>
            </c:numRef>
          </c:xVal>
          <c:yVal>
            <c:numRef>
              <c:f>'Дума партии'!$AP$2:$AP$184</c:f>
              <c:numCache>
                <c:formatCode>0.0</c:formatCode>
                <c:ptCount val="182"/>
                <c:pt idx="0">
                  <c:v>0.6203473945409429</c:v>
                </c:pt>
                <c:pt idx="1">
                  <c:v>0.30895983522142123</c:v>
                </c:pt>
                <c:pt idx="2">
                  <c:v>0.45745654162854527</c:v>
                </c:pt>
                <c:pt idx="3">
                  <c:v>0.50125313283208017</c:v>
                </c:pt>
                <c:pt idx="4">
                  <c:v>0.10799136069114471</c:v>
                </c:pt>
                <c:pt idx="5">
                  <c:v>0.68560235063663078</c:v>
                </c:pt>
                <c:pt idx="6">
                  <c:v>0.36832412523020258</c:v>
                </c:pt>
                <c:pt idx="7">
                  <c:v>0.46911649726348709</c:v>
                </c:pt>
                <c:pt idx="8">
                  <c:v>0.74173971679028994</c:v>
                </c:pt>
                <c:pt idx="9">
                  <c:v>0.66889632107023411</c:v>
                </c:pt>
                <c:pt idx="10">
                  <c:v>0.33840947546531303</c:v>
                </c:pt>
                <c:pt idx="11">
                  <c:v>0.30721966205837176</c:v>
                </c:pt>
                <c:pt idx="12">
                  <c:v>2.2569444444444446</c:v>
                </c:pt>
                <c:pt idx="13">
                  <c:v>0.71343638525564801</c:v>
                </c:pt>
                <c:pt idx="14">
                  <c:v>5.9322033898305087</c:v>
                </c:pt>
                <c:pt idx="15">
                  <c:v>0.49586776859504134</c:v>
                </c:pt>
                <c:pt idx="16">
                  <c:v>1.4354066985645932</c:v>
                </c:pt>
                <c:pt idx="17">
                  <c:v>0.7109004739336493</c:v>
                </c:pt>
                <c:pt idx="18">
                  <c:v>0.95579450418160095</c:v>
                </c:pt>
                <c:pt idx="19">
                  <c:v>0.50403225806451613</c:v>
                </c:pt>
                <c:pt idx="20">
                  <c:v>1.6736401673640167</c:v>
                </c:pt>
                <c:pt idx="21">
                  <c:v>0.30150753768844218</c:v>
                </c:pt>
                <c:pt idx="22">
                  <c:v>0.9536784741144414</c:v>
                </c:pt>
                <c:pt idx="23">
                  <c:v>0.87609511889862324</c:v>
                </c:pt>
                <c:pt idx="24">
                  <c:v>0.54719562243502051</c:v>
                </c:pt>
                <c:pt idx="25">
                  <c:v>0.49140049140049141</c:v>
                </c:pt>
                <c:pt idx="26">
                  <c:v>0.6381039197812215</c:v>
                </c:pt>
                <c:pt idx="27">
                  <c:v>0.48590864917395532</c:v>
                </c:pt>
                <c:pt idx="28">
                  <c:v>0.27726432532347506</c:v>
                </c:pt>
                <c:pt idx="29">
                  <c:v>0.78492935635792782</c:v>
                </c:pt>
                <c:pt idx="30">
                  <c:v>0.21459227467811159</c:v>
                </c:pt>
                <c:pt idx="31">
                  <c:v>0.58737151248164465</c:v>
                </c:pt>
                <c:pt idx="32">
                  <c:v>0.38167938931297712</c:v>
                </c:pt>
                <c:pt idx="33">
                  <c:v>0.73664825046040516</c:v>
                </c:pt>
                <c:pt idx="34">
                  <c:v>0</c:v>
                </c:pt>
                <c:pt idx="35">
                  <c:v>0.68493150684931503</c:v>
                </c:pt>
                <c:pt idx="36">
                  <c:v>1.3186813186813187</c:v>
                </c:pt>
                <c:pt idx="37">
                  <c:v>0.55096418732782371</c:v>
                </c:pt>
                <c:pt idx="38">
                  <c:v>0.86705202312138729</c:v>
                </c:pt>
                <c:pt idx="39">
                  <c:v>0</c:v>
                </c:pt>
                <c:pt idx="40">
                  <c:v>1.0014306151645207</c:v>
                </c:pt>
                <c:pt idx="41">
                  <c:v>0</c:v>
                </c:pt>
                <c:pt idx="42">
                  <c:v>0.42964554242749731</c:v>
                </c:pt>
                <c:pt idx="43">
                  <c:v>0.37926675094816686</c:v>
                </c:pt>
                <c:pt idx="44">
                  <c:v>0.12484394506866417</c:v>
                </c:pt>
                <c:pt idx="45">
                  <c:v>0.18709073900841908</c:v>
                </c:pt>
                <c:pt idx="46">
                  <c:v>0</c:v>
                </c:pt>
                <c:pt idx="47">
                  <c:v>0.30534351145038169</c:v>
                </c:pt>
                <c:pt idx="48">
                  <c:v>0.42313117066290551</c:v>
                </c:pt>
                <c:pt idx="49">
                  <c:v>0.24691358024691357</c:v>
                </c:pt>
                <c:pt idx="50">
                  <c:v>0.38910505836575876</c:v>
                </c:pt>
                <c:pt idx="51">
                  <c:v>1.1146496815286624</c:v>
                </c:pt>
                <c:pt idx="52">
                  <c:v>0.55865921787709494</c:v>
                </c:pt>
                <c:pt idx="53">
                  <c:v>0</c:v>
                </c:pt>
                <c:pt idx="54">
                  <c:v>1.0971786833855799</c:v>
                </c:pt>
                <c:pt idx="55">
                  <c:v>2.1825396825396823</c:v>
                </c:pt>
                <c:pt idx="56">
                  <c:v>1.5174506828528074</c:v>
                </c:pt>
                <c:pt idx="57">
                  <c:v>1.251303441084463</c:v>
                </c:pt>
                <c:pt idx="58">
                  <c:v>0.88607594936708856</c:v>
                </c:pt>
                <c:pt idx="59">
                  <c:v>0.92764378478664189</c:v>
                </c:pt>
                <c:pt idx="60">
                  <c:v>0.47468354430379744</c:v>
                </c:pt>
                <c:pt idx="61">
                  <c:v>0</c:v>
                </c:pt>
                <c:pt idx="62">
                  <c:v>1.3937282229965158</c:v>
                </c:pt>
                <c:pt idx="63">
                  <c:v>1.1111111111111112</c:v>
                </c:pt>
                <c:pt idx="64">
                  <c:v>0.86021505376344087</c:v>
                </c:pt>
                <c:pt idx="65">
                  <c:v>0.26560424966799467</c:v>
                </c:pt>
                <c:pt idx="66">
                  <c:v>0.85287846481876328</c:v>
                </c:pt>
                <c:pt idx="67">
                  <c:v>2</c:v>
                </c:pt>
                <c:pt idx="68">
                  <c:v>0.69284064665127021</c:v>
                </c:pt>
                <c:pt idx="69">
                  <c:v>0.49554013875123887</c:v>
                </c:pt>
                <c:pt idx="70">
                  <c:v>0.65502183406113534</c:v>
                </c:pt>
                <c:pt idx="71">
                  <c:v>0.63829787234042556</c:v>
                </c:pt>
                <c:pt idx="72">
                  <c:v>0.16611295681063123</c:v>
                </c:pt>
                <c:pt idx="73">
                  <c:v>0.25125628140703515</c:v>
                </c:pt>
                <c:pt idx="74">
                  <c:v>0.86393088552915764</c:v>
                </c:pt>
                <c:pt idx="75">
                  <c:v>0.1466275659824047</c:v>
                </c:pt>
                <c:pt idx="76">
                  <c:v>0.53380782918149461</c:v>
                </c:pt>
                <c:pt idx="77">
                  <c:v>0.64102564102564108</c:v>
                </c:pt>
                <c:pt idx="78">
                  <c:v>0.38071065989847713</c:v>
                </c:pt>
                <c:pt idx="79">
                  <c:v>0.33112582781456956</c:v>
                </c:pt>
                <c:pt idx="80">
                  <c:v>0.2544529262086514</c:v>
                </c:pt>
                <c:pt idx="81">
                  <c:v>1.0033444816053512</c:v>
                </c:pt>
                <c:pt idx="82">
                  <c:v>0.65146579804560256</c:v>
                </c:pt>
                <c:pt idx="83">
                  <c:v>0.54884742041712409</c:v>
                </c:pt>
                <c:pt idx="84">
                  <c:v>1.1544011544011543</c:v>
                </c:pt>
                <c:pt idx="85">
                  <c:v>0.57306590257879653</c:v>
                </c:pt>
                <c:pt idx="86">
                  <c:v>0.56258790436005623</c:v>
                </c:pt>
                <c:pt idx="87">
                  <c:v>0.47021943573667713</c:v>
                </c:pt>
                <c:pt idx="88">
                  <c:v>0.58224163027656473</c:v>
                </c:pt>
                <c:pt idx="89">
                  <c:v>0.23148148148148148</c:v>
                </c:pt>
                <c:pt idx="90">
                  <c:v>0.63291139240506333</c:v>
                </c:pt>
                <c:pt idx="91">
                  <c:v>0.93457943925233644</c:v>
                </c:pt>
                <c:pt idx="92">
                  <c:v>0.67658998646820023</c:v>
                </c:pt>
                <c:pt idx="93">
                  <c:v>6.5104166666666671E-2</c:v>
                </c:pt>
                <c:pt idx="94">
                  <c:v>0.21231422505307856</c:v>
                </c:pt>
                <c:pt idx="95">
                  <c:v>0.40816326530612246</c:v>
                </c:pt>
                <c:pt idx="96">
                  <c:v>0</c:v>
                </c:pt>
                <c:pt idx="97">
                  <c:v>0.35118525021949076</c:v>
                </c:pt>
                <c:pt idx="98">
                  <c:v>0.24539877300613497</c:v>
                </c:pt>
                <c:pt idx="99">
                  <c:v>0.59808612440191389</c:v>
                </c:pt>
                <c:pt idx="100">
                  <c:v>0</c:v>
                </c:pt>
                <c:pt idx="101">
                  <c:v>0.32786885245901637</c:v>
                </c:pt>
                <c:pt idx="102">
                  <c:v>0.35398230088495575</c:v>
                </c:pt>
                <c:pt idx="103">
                  <c:v>0</c:v>
                </c:pt>
                <c:pt idx="104">
                  <c:v>1.075268817204301</c:v>
                </c:pt>
                <c:pt idx="105">
                  <c:v>0.25094102885821834</c:v>
                </c:pt>
                <c:pt idx="106">
                  <c:v>1.3921113689095128</c:v>
                </c:pt>
                <c:pt idx="107">
                  <c:v>0.3592814371257485</c:v>
                </c:pt>
                <c:pt idx="108">
                  <c:v>0.38834951456310679</c:v>
                </c:pt>
                <c:pt idx="109">
                  <c:v>1.4644351464435146</c:v>
                </c:pt>
                <c:pt idx="110">
                  <c:v>0.67294751009421261</c:v>
                </c:pt>
                <c:pt idx="111">
                  <c:v>1.1398963730569949</c:v>
                </c:pt>
                <c:pt idx="112">
                  <c:v>0.41666666666666669</c:v>
                </c:pt>
                <c:pt idx="113">
                  <c:v>0.32733224222585927</c:v>
                </c:pt>
                <c:pt idx="114">
                  <c:v>0.44543429844097998</c:v>
                </c:pt>
                <c:pt idx="115">
                  <c:v>0.75093867334167708</c:v>
                </c:pt>
                <c:pt idx="116">
                  <c:v>0.33670033670033672</c:v>
                </c:pt>
                <c:pt idx="117">
                  <c:v>0.52770448548812665</c:v>
                </c:pt>
                <c:pt idx="118">
                  <c:v>0</c:v>
                </c:pt>
                <c:pt idx="119">
                  <c:v>0.78508341511285573</c:v>
                </c:pt>
                <c:pt idx="120">
                  <c:v>0.55788005578800559</c:v>
                </c:pt>
                <c:pt idx="121">
                  <c:v>0.67510548523206748</c:v>
                </c:pt>
                <c:pt idx="122">
                  <c:v>0.89552238805970152</c:v>
                </c:pt>
                <c:pt idx="123">
                  <c:v>0.97222222222222221</c:v>
                </c:pt>
                <c:pt idx="124">
                  <c:v>1.1083743842364533</c:v>
                </c:pt>
                <c:pt idx="125">
                  <c:v>0.42372881355932202</c:v>
                </c:pt>
                <c:pt idx="126">
                  <c:v>0.4836759371221282</c:v>
                </c:pt>
                <c:pt idx="127">
                  <c:v>0.13568521031207598</c:v>
                </c:pt>
                <c:pt idx="128">
                  <c:v>0.970873786407767</c:v>
                </c:pt>
                <c:pt idx="129">
                  <c:v>0.18214936247723132</c:v>
                </c:pt>
                <c:pt idx="130">
                  <c:v>0.93676814988290402</c:v>
                </c:pt>
                <c:pt idx="131">
                  <c:v>1.2170385395537526</c:v>
                </c:pt>
                <c:pt idx="132">
                  <c:v>1.1516314779270633</c:v>
                </c:pt>
                <c:pt idx="133">
                  <c:v>0.1953125</c:v>
                </c:pt>
                <c:pt idx="134">
                  <c:v>1.4732965009208103</c:v>
                </c:pt>
                <c:pt idx="135">
                  <c:v>0.78037904124860646</c:v>
                </c:pt>
                <c:pt idx="136">
                  <c:v>0.34965034965034963</c:v>
                </c:pt>
                <c:pt idx="137">
                  <c:v>0.51546391752577314</c:v>
                </c:pt>
                <c:pt idx="138">
                  <c:v>0.99502487562189057</c:v>
                </c:pt>
                <c:pt idx="139">
                  <c:v>0.65359477124183007</c:v>
                </c:pt>
                <c:pt idx="140">
                  <c:v>4.1302621127879267</c:v>
                </c:pt>
                <c:pt idx="141">
                  <c:v>0.55944055944055948</c:v>
                </c:pt>
                <c:pt idx="142">
                  <c:v>0.74349442379182151</c:v>
                </c:pt>
                <c:pt idx="143">
                  <c:v>0.52083333333333337</c:v>
                </c:pt>
                <c:pt idx="144">
                  <c:v>0.25906735751295334</c:v>
                </c:pt>
                <c:pt idx="145">
                  <c:v>0.85287846481876328</c:v>
                </c:pt>
                <c:pt idx="146">
                  <c:v>0.83102493074792239</c:v>
                </c:pt>
                <c:pt idx="147">
                  <c:v>0.4580152671755725</c:v>
                </c:pt>
                <c:pt idx="148">
                  <c:v>0.56433408577878108</c:v>
                </c:pt>
                <c:pt idx="149">
                  <c:v>0.55309734513274333</c:v>
                </c:pt>
                <c:pt idx="150">
                  <c:v>0.54127198917456021</c:v>
                </c:pt>
                <c:pt idx="151">
                  <c:v>1.5384615384615385</c:v>
                </c:pt>
                <c:pt idx="152">
                  <c:v>1.9138755980861244</c:v>
                </c:pt>
                <c:pt idx="153">
                  <c:v>1.5810276679841897</c:v>
                </c:pt>
                <c:pt idx="154">
                  <c:v>1.0638297872340425</c:v>
                </c:pt>
                <c:pt idx="155">
                  <c:v>2.2068965517241379</c:v>
                </c:pt>
                <c:pt idx="156">
                  <c:v>0.30364372469635625</c:v>
                </c:pt>
                <c:pt idx="157">
                  <c:v>0.24937655860349128</c:v>
                </c:pt>
                <c:pt idx="158">
                  <c:v>1.3123359580052494</c:v>
                </c:pt>
                <c:pt idx="159">
                  <c:v>1.0909090909090908</c:v>
                </c:pt>
                <c:pt idx="160">
                  <c:v>0.20618556701030927</c:v>
                </c:pt>
                <c:pt idx="161">
                  <c:v>1.2865497076023391</c:v>
                </c:pt>
                <c:pt idx="162">
                  <c:v>1.1461318051575931</c:v>
                </c:pt>
                <c:pt idx="163">
                  <c:v>0.93896713615023475</c:v>
                </c:pt>
                <c:pt idx="164">
                  <c:v>1.3782542113323124</c:v>
                </c:pt>
                <c:pt idx="165">
                  <c:v>1.3824884792626728</c:v>
                </c:pt>
                <c:pt idx="166">
                  <c:v>2.2312373225152129</c:v>
                </c:pt>
                <c:pt idx="167">
                  <c:v>1.4234875444839858</c:v>
                </c:pt>
                <c:pt idx="168">
                  <c:v>0.25510204081632654</c:v>
                </c:pt>
                <c:pt idx="169">
                  <c:v>2.4844720496894408</c:v>
                </c:pt>
                <c:pt idx="170">
                  <c:v>1.8032786885245902</c:v>
                </c:pt>
                <c:pt idx="171">
                  <c:v>0.73664825046040516</c:v>
                </c:pt>
                <c:pt idx="172">
                  <c:v>1.0781671159029649</c:v>
                </c:pt>
                <c:pt idx="173">
                  <c:v>0.25839793281653745</c:v>
                </c:pt>
                <c:pt idx="174">
                  <c:v>0.25773195876288657</c:v>
                </c:pt>
                <c:pt idx="175">
                  <c:v>0.82508250825082508</c:v>
                </c:pt>
                <c:pt idx="176">
                  <c:v>1.1862396204033214</c:v>
                </c:pt>
                <c:pt idx="177">
                  <c:v>0.38022813688212925</c:v>
                </c:pt>
                <c:pt idx="178">
                  <c:v>1.9064124783362217</c:v>
                </c:pt>
                <c:pt idx="179">
                  <c:v>0.18083182640144665</c:v>
                </c:pt>
                <c:pt idx="180">
                  <c:v>0.55632823365785811</c:v>
                </c:pt>
                <c:pt idx="181">
                  <c:v>0.71174377224199292</c:v>
                </c:pt>
              </c:numCache>
            </c:numRef>
          </c:yVal>
          <c:bubbleSize>
            <c:numRef>
              <c:f>'Дума партии'!$J$2:$J$184</c:f>
              <c:numCache>
                <c:formatCode>General</c:formatCode>
                <c:ptCount val="182"/>
                <c:pt idx="0">
                  <c:v>2451</c:v>
                </c:pt>
                <c:pt idx="1">
                  <c:v>1779</c:v>
                </c:pt>
                <c:pt idx="2">
                  <c:v>1942</c:v>
                </c:pt>
                <c:pt idx="3">
                  <c:v>2110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422</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2240</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1292</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290</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2226</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3017</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7-36CE-4AFB-9313-7A7B86C5B0D3}"/>
            </c:ext>
          </c:extLst>
        </c:ser>
        <c:ser>
          <c:idx val="4"/>
          <c:order val="8"/>
          <c:tx>
            <c:strRef>
              <c:f>'Дума партии'!$AR$1</c:f>
              <c:strCache>
                <c:ptCount val="1"/>
                <c:pt idx="0">
                  <c:v>Свободы</c:v>
                </c:pt>
              </c:strCache>
            </c:strRef>
          </c:tx>
          <c:spPr>
            <a:solidFill>
              <a:srgbClr val="0099CC">
                <a:alpha val="50000"/>
              </a:srgbClr>
            </a:solidFill>
            <a:ln w="25400">
              <a:noFill/>
            </a:ln>
          </c:spPr>
          <c:invertIfNegative val="0"/>
          <c:xVal>
            <c:numRef>
              <c:f>'Дума партии'!$O$2:$O$184</c:f>
              <c:numCache>
                <c:formatCode>0.0</c:formatCode>
                <c:ptCount val="182"/>
                <c:pt idx="0">
                  <c:v>65.769073847409217</c:v>
                </c:pt>
                <c:pt idx="1">
                  <c:v>54.693648116919618</c:v>
                </c:pt>
                <c:pt idx="2">
                  <c:v>56.333676622039135</c:v>
                </c:pt>
                <c:pt idx="3">
                  <c:v>56.919431279620852</c:v>
                </c:pt>
                <c:pt idx="4">
                  <c:v>49.812130971551262</c:v>
                </c:pt>
                <c:pt idx="5">
                  <c:v>52.610030706243606</c:v>
                </c:pt>
                <c:pt idx="6">
                  <c:v>62.290927521540802</c:v>
                </c:pt>
                <c:pt idx="7">
                  <c:v>71.452328159645234</c:v>
                </c:pt>
                <c:pt idx="8">
                  <c:v>73.707753479125245</c:v>
                </c:pt>
                <c:pt idx="9">
                  <c:v>38.504037399065027</c:v>
                </c:pt>
                <c:pt idx="10">
                  <c:v>26.023778071334213</c:v>
                </c:pt>
                <c:pt idx="11">
                  <c:v>73.80952380952381</c:v>
                </c:pt>
                <c:pt idx="12">
                  <c:v>52.41128298453139</c:v>
                </c:pt>
                <c:pt idx="13">
                  <c:v>35.041666666666664</c:v>
                </c:pt>
                <c:pt idx="14">
                  <c:v>48.479868529170091</c:v>
                </c:pt>
                <c:pt idx="15">
                  <c:v>30.726256983240223</c:v>
                </c:pt>
                <c:pt idx="16">
                  <c:v>49.526066350710899</c:v>
                </c:pt>
                <c:pt idx="17">
                  <c:v>34.267413931144915</c:v>
                </c:pt>
                <c:pt idx="18">
                  <c:v>48.776223776223773</c:v>
                </c:pt>
                <c:pt idx="19">
                  <c:v>36.920222634508349</c:v>
                </c:pt>
                <c:pt idx="20">
                  <c:v>26.006528835690968</c:v>
                </c:pt>
                <c:pt idx="21">
                  <c:v>47.85954785954786</c:v>
                </c:pt>
                <c:pt idx="22">
                  <c:v>33.182844243792324</c:v>
                </c:pt>
                <c:pt idx="23">
                  <c:v>38.321342925659472</c:v>
                </c:pt>
                <c:pt idx="24">
                  <c:v>32.349052446011456</c:v>
                </c:pt>
                <c:pt idx="25">
                  <c:v>38.541666666666664</c:v>
                </c:pt>
                <c:pt idx="26">
                  <c:v>54.414682539682538</c:v>
                </c:pt>
                <c:pt idx="27">
                  <c:v>44.678111587982833</c:v>
                </c:pt>
                <c:pt idx="28">
                  <c:v>48.960216998191683</c:v>
                </c:pt>
                <c:pt idx="29">
                  <c:v>36.23435722411832</c:v>
                </c:pt>
                <c:pt idx="30">
                  <c:v>41.570026761819804</c:v>
                </c:pt>
                <c:pt idx="31">
                  <c:v>30.401785714285715</c:v>
                </c:pt>
                <c:pt idx="32">
                  <c:v>40.432098765432102</c:v>
                </c:pt>
                <c:pt idx="33">
                  <c:v>95.27145359019265</c:v>
                </c:pt>
                <c:pt idx="34">
                  <c:v>43.419689119170982</c:v>
                </c:pt>
                <c:pt idx="35">
                  <c:v>61.180952380952384</c:v>
                </c:pt>
                <c:pt idx="36">
                  <c:v>82.278481012658233</c:v>
                </c:pt>
                <c:pt idx="37">
                  <c:v>37.891440501043839</c:v>
                </c:pt>
                <c:pt idx="38">
                  <c:v>40.373395565927652</c:v>
                </c:pt>
                <c:pt idx="39">
                  <c:v>40.014164305949009</c:v>
                </c:pt>
                <c:pt idx="40">
                  <c:v>35.019646365422396</c:v>
                </c:pt>
                <c:pt idx="41">
                  <c:v>32.91592128801431</c:v>
                </c:pt>
                <c:pt idx="42">
                  <c:v>34.583952451708768</c:v>
                </c:pt>
                <c:pt idx="43">
                  <c:v>34.065460809646858</c:v>
                </c:pt>
                <c:pt idx="44">
                  <c:v>66.542133665421332</c:v>
                </c:pt>
                <c:pt idx="45">
                  <c:v>82.972136222910223</c:v>
                </c:pt>
                <c:pt idx="46">
                  <c:v>64.759725400457668</c:v>
                </c:pt>
                <c:pt idx="47">
                  <c:v>40.809968847352025</c:v>
                </c:pt>
                <c:pt idx="48">
                  <c:v>45.801033591731269</c:v>
                </c:pt>
                <c:pt idx="49">
                  <c:v>54.984354045596781</c:v>
                </c:pt>
                <c:pt idx="50">
                  <c:v>40.988835725677831</c:v>
                </c:pt>
                <c:pt idx="51">
                  <c:v>37.672465506898618</c:v>
                </c:pt>
                <c:pt idx="52">
                  <c:v>42.771804062126641</c:v>
                </c:pt>
                <c:pt idx="53">
                  <c:v>78.285714285714292</c:v>
                </c:pt>
                <c:pt idx="54">
                  <c:v>35.802469135802468</c:v>
                </c:pt>
                <c:pt idx="55">
                  <c:v>34.591626630061768</c:v>
                </c:pt>
                <c:pt idx="56">
                  <c:v>43.99198931909212</c:v>
                </c:pt>
                <c:pt idx="57">
                  <c:v>35.998498498498499</c:v>
                </c:pt>
                <c:pt idx="58">
                  <c:v>28.264758497316638</c:v>
                </c:pt>
                <c:pt idx="59">
                  <c:v>41.413753361505954</c:v>
                </c:pt>
                <c:pt idx="60">
                  <c:v>38.279830405814657</c:v>
                </c:pt>
                <c:pt idx="61">
                  <c:v>44.122298365840798</c:v>
                </c:pt>
                <c:pt idx="62">
                  <c:v>28.415841584158414</c:v>
                </c:pt>
                <c:pt idx="63">
                  <c:v>28.213166144200628</c:v>
                </c:pt>
                <c:pt idx="64">
                  <c:v>31.632653061224488</c:v>
                </c:pt>
                <c:pt idx="65">
                  <c:v>57.634902411021812</c:v>
                </c:pt>
                <c:pt idx="66">
                  <c:v>65.963431786216603</c:v>
                </c:pt>
                <c:pt idx="67">
                  <c:v>59.171597633136095</c:v>
                </c:pt>
                <c:pt idx="68">
                  <c:v>46.972972972972975</c:v>
                </c:pt>
                <c:pt idx="69">
                  <c:v>52.910330361824855</c:v>
                </c:pt>
                <c:pt idx="70">
                  <c:v>36.995153473344104</c:v>
                </c:pt>
                <c:pt idx="71">
                  <c:v>41.978609625668447</c:v>
                </c:pt>
                <c:pt idx="72">
                  <c:v>40.463576158940398</c:v>
                </c:pt>
                <c:pt idx="73">
                  <c:v>22.40990990990991</c:v>
                </c:pt>
                <c:pt idx="74">
                  <c:v>35.343511450381676</c:v>
                </c:pt>
                <c:pt idx="75">
                  <c:v>51.278195488721806</c:v>
                </c:pt>
                <c:pt idx="76">
                  <c:v>55.201177625122668</c:v>
                </c:pt>
                <c:pt idx="77">
                  <c:v>57.815126050420169</c:v>
                </c:pt>
                <c:pt idx="78">
                  <c:v>51.873767258382642</c:v>
                </c:pt>
                <c:pt idx="79">
                  <c:v>42.535211267605632</c:v>
                </c:pt>
                <c:pt idx="80">
                  <c:v>51.540983606557376</c:v>
                </c:pt>
                <c:pt idx="81">
                  <c:v>40.625</c:v>
                </c:pt>
                <c:pt idx="82">
                  <c:v>47.904811174340402</c:v>
                </c:pt>
                <c:pt idx="83">
                  <c:v>44.525904203323556</c:v>
                </c:pt>
                <c:pt idx="84">
                  <c:v>40.621336459554513</c:v>
                </c:pt>
                <c:pt idx="85">
                  <c:v>40.938416422287389</c:v>
                </c:pt>
                <c:pt idx="86">
                  <c:v>46.500981033355131</c:v>
                </c:pt>
                <c:pt idx="87">
                  <c:v>35.444444444444443</c:v>
                </c:pt>
                <c:pt idx="88">
                  <c:v>38.161993769470406</c:v>
                </c:pt>
                <c:pt idx="89">
                  <c:v>43.880142204164549</c:v>
                </c:pt>
                <c:pt idx="90">
                  <c:v>49.60753532182104</c:v>
                </c:pt>
                <c:pt idx="91">
                  <c:v>51.973284760170003</c:v>
                </c:pt>
                <c:pt idx="92">
                  <c:v>56.155015197568389</c:v>
                </c:pt>
                <c:pt idx="93">
                  <c:v>63.973344439816742</c:v>
                </c:pt>
                <c:pt idx="94">
                  <c:v>66.090611863615138</c:v>
                </c:pt>
                <c:pt idx="95">
                  <c:v>65.528455284552848</c:v>
                </c:pt>
                <c:pt idx="96">
                  <c:v>59.78142076502732</c:v>
                </c:pt>
                <c:pt idx="97">
                  <c:v>47.716799329702553</c:v>
                </c:pt>
                <c:pt idx="98">
                  <c:v>53.094462540716613</c:v>
                </c:pt>
                <c:pt idx="99">
                  <c:v>31.606805293005671</c:v>
                </c:pt>
                <c:pt idx="100">
                  <c:v>36.172295643661279</c:v>
                </c:pt>
                <c:pt idx="101">
                  <c:v>57.703081232492998</c:v>
                </c:pt>
                <c:pt idx="102">
                  <c:v>57.186234817813762</c:v>
                </c:pt>
                <c:pt idx="103">
                  <c:v>100</c:v>
                </c:pt>
                <c:pt idx="104">
                  <c:v>90.865384615384613</c:v>
                </c:pt>
                <c:pt idx="105">
                  <c:v>45.725760183591511</c:v>
                </c:pt>
                <c:pt idx="106">
                  <c:v>38.141592920353979</c:v>
                </c:pt>
                <c:pt idx="107">
                  <c:v>35.991379310344826</c:v>
                </c:pt>
                <c:pt idx="108">
                  <c:v>40.813135261923378</c:v>
                </c:pt>
                <c:pt idx="109">
                  <c:v>37.786561264822133</c:v>
                </c:pt>
                <c:pt idx="110">
                  <c:v>42.659279778393355</c:v>
                </c:pt>
                <c:pt idx="111">
                  <c:v>39.198131568703779</c:v>
                </c:pt>
                <c:pt idx="112">
                  <c:v>39.279869067103107</c:v>
                </c:pt>
                <c:pt idx="113">
                  <c:v>42.108890420399725</c:v>
                </c:pt>
                <c:pt idx="114">
                  <c:v>37.489609310058185</c:v>
                </c:pt>
                <c:pt idx="115">
                  <c:v>35.413899955732624</c:v>
                </c:pt>
                <c:pt idx="116">
                  <c:v>48.197955890263586</c:v>
                </c:pt>
                <c:pt idx="117">
                  <c:v>36.372360844529751</c:v>
                </c:pt>
                <c:pt idx="118">
                  <c:v>0</c:v>
                </c:pt>
                <c:pt idx="119">
                  <c:v>41.97530864197531</c:v>
                </c:pt>
                <c:pt idx="120">
                  <c:v>32.253711201079625</c:v>
                </c:pt>
                <c:pt idx="121">
                  <c:v>51.320918146383718</c:v>
                </c:pt>
                <c:pt idx="122">
                  <c:v>33.550325488232346</c:v>
                </c:pt>
                <c:pt idx="123">
                  <c:v>35.837864557587743</c:v>
                </c:pt>
                <c:pt idx="124">
                  <c:v>43.203883495145632</c:v>
                </c:pt>
                <c:pt idx="125">
                  <c:v>40.560640732265448</c:v>
                </c:pt>
                <c:pt idx="126">
                  <c:v>36.066288704753596</c:v>
                </c:pt>
                <c:pt idx="127">
                  <c:v>34.057301293900181</c:v>
                </c:pt>
                <c:pt idx="128">
                  <c:v>36.285858077503775</c:v>
                </c:pt>
                <c:pt idx="129">
                  <c:v>42.036753445635526</c:v>
                </c:pt>
                <c:pt idx="130">
                  <c:v>70.199587061252586</c:v>
                </c:pt>
                <c:pt idx="131">
                  <c:v>31.971465629053178</c:v>
                </c:pt>
                <c:pt idx="132">
                  <c:v>35.394021739130437</c:v>
                </c:pt>
                <c:pt idx="133">
                  <c:v>35.140700068634182</c:v>
                </c:pt>
                <c:pt idx="134">
                  <c:v>29.351351351351351</c:v>
                </c:pt>
                <c:pt idx="135">
                  <c:v>42.471590909090907</c:v>
                </c:pt>
                <c:pt idx="136">
                  <c:v>55.265700483091784</c:v>
                </c:pt>
                <c:pt idx="137">
                  <c:v>51.10526315789474</c:v>
                </c:pt>
                <c:pt idx="138">
                  <c:v>36.855895196506552</c:v>
                </c:pt>
                <c:pt idx="139">
                  <c:v>34.820209376422397</c:v>
                </c:pt>
                <c:pt idx="140">
                  <c:v>69.944444444444443</c:v>
                </c:pt>
                <c:pt idx="141">
                  <c:v>33.010156971375807</c:v>
                </c:pt>
                <c:pt idx="142">
                  <c:v>40.26290165530672</c:v>
                </c:pt>
                <c:pt idx="143">
                  <c:v>38.359412043622569</c:v>
                </c:pt>
                <c:pt idx="144">
                  <c:v>30.732484076433121</c:v>
                </c:pt>
                <c:pt idx="145">
                  <c:v>37.028301886792455</c:v>
                </c:pt>
                <c:pt idx="146">
                  <c:v>35.288367546432063</c:v>
                </c:pt>
                <c:pt idx="147">
                  <c:v>34.275248560962844</c:v>
                </c:pt>
                <c:pt idx="148">
                  <c:v>38.125802310654684</c:v>
                </c:pt>
                <c:pt idx="149">
                  <c:v>40.745732255166217</c:v>
                </c:pt>
                <c:pt idx="150">
                  <c:v>27.971233913701742</c:v>
                </c:pt>
                <c:pt idx="151">
                  <c:v>28.618602091359385</c:v>
                </c:pt>
                <c:pt idx="152">
                  <c:v>32.336255801959773</c:v>
                </c:pt>
                <c:pt idx="153">
                  <c:v>24.444444444444443</c:v>
                </c:pt>
                <c:pt idx="154">
                  <c:v>28.796498905908095</c:v>
                </c:pt>
                <c:pt idx="155">
                  <c:v>28.420227361818895</c:v>
                </c:pt>
                <c:pt idx="156">
                  <c:v>33.021390374331553</c:v>
                </c:pt>
                <c:pt idx="157">
                  <c:v>53.324468085106382</c:v>
                </c:pt>
                <c:pt idx="158">
                  <c:v>48.549810844892811</c:v>
                </c:pt>
                <c:pt idx="159">
                  <c:v>32.177931831311383</c:v>
                </c:pt>
                <c:pt idx="160">
                  <c:v>44.659300184162063</c:v>
                </c:pt>
                <c:pt idx="161">
                  <c:v>28.372555518727211</c:v>
                </c:pt>
                <c:pt idx="162">
                  <c:v>26.083707025411062</c:v>
                </c:pt>
                <c:pt idx="163">
                  <c:v>27.099236641221374</c:v>
                </c:pt>
                <c:pt idx="164">
                  <c:v>29.520795660036168</c:v>
                </c:pt>
                <c:pt idx="165">
                  <c:v>26.91194708557255</c:v>
                </c:pt>
                <c:pt idx="166">
                  <c:v>22.96983758700696</c:v>
                </c:pt>
                <c:pt idx="167">
                  <c:v>23.950826621449767</c:v>
                </c:pt>
                <c:pt idx="168">
                  <c:v>26.504394861392832</c:v>
                </c:pt>
                <c:pt idx="169">
                  <c:v>22.563417890520693</c:v>
                </c:pt>
                <c:pt idx="170">
                  <c:v>22.906496432594817</c:v>
                </c:pt>
                <c:pt idx="171">
                  <c:v>42.521534847298355</c:v>
                </c:pt>
                <c:pt idx="172">
                  <c:v>34.256694367497694</c:v>
                </c:pt>
                <c:pt idx="173">
                  <c:v>31.412337662337663</c:v>
                </c:pt>
                <c:pt idx="174">
                  <c:v>37.596899224806201</c:v>
                </c:pt>
                <c:pt idx="175">
                  <c:v>35.335276967930028</c:v>
                </c:pt>
                <c:pt idx="176">
                  <c:v>49.561146869514339</c:v>
                </c:pt>
                <c:pt idx="177">
                  <c:v>64.645637034002462</c:v>
                </c:pt>
                <c:pt idx="178">
                  <c:v>31.949058693244741</c:v>
                </c:pt>
                <c:pt idx="179">
                  <c:v>42.149390243902438</c:v>
                </c:pt>
                <c:pt idx="180">
                  <c:v>43.365500603136311</c:v>
                </c:pt>
                <c:pt idx="181">
                  <c:v>26.360225140712945</c:v>
                </c:pt>
              </c:numCache>
            </c:numRef>
          </c:xVal>
          <c:yVal>
            <c:numRef>
              <c:f>'Дума партии'!$AR$2:$AR$184</c:f>
              <c:numCache>
                <c:formatCode>0.0</c:formatCode>
                <c:ptCount val="182"/>
                <c:pt idx="0">
                  <c:v>0.99255583126550873</c:v>
                </c:pt>
                <c:pt idx="1">
                  <c:v>0.41194644696189497</c:v>
                </c:pt>
                <c:pt idx="2">
                  <c:v>0.27447392497712719</c:v>
                </c:pt>
                <c:pt idx="3">
                  <c:v>1.1695906432748537</c:v>
                </c:pt>
                <c:pt idx="4">
                  <c:v>1.4038876889848813</c:v>
                </c:pt>
                <c:pt idx="5">
                  <c:v>0.68560235063663078</c:v>
                </c:pt>
                <c:pt idx="6">
                  <c:v>0.5524861878453039</c:v>
                </c:pt>
                <c:pt idx="7">
                  <c:v>1.0946051602814699</c:v>
                </c:pt>
                <c:pt idx="8">
                  <c:v>0.13486176668914363</c:v>
                </c:pt>
                <c:pt idx="9">
                  <c:v>1.4492753623188406</c:v>
                </c:pt>
                <c:pt idx="10">
                  <c:v>2.1996615905245345</c:v>
                </c:pt>
                <c:pt idx="11">
                  <c:v>0.46082949308755761</c:v>
                </c:pt>
                <c:pt idx="12">
                  <c:v>2.7777777777777777</c:v>
                </c:pt>
                <c:pt idx="13">
                  <c:v>1.5457788347205708</c:v>
                </c:pt>
                <c:pt idx="14">
                  <c:v>1.0169491525423728</c:v>
                </c:pt>
                <c:pt idx="15">
                  <c:v>1.9834710743801653</c:v>
                </c:pt>
                <c:pt idx="16">
                  <c:v>1.4354066985645932</c:v>
                </c:pt>
                <c:pt idx="17">
                  <c:v>3.7914691943127963</c:v>
                </c:pt>
                <c:pt idx="18">
                  <c:v>0.95579450418160095</c:v>
                </c:pt>
                <c:pt idx="19">
                  <c:v>1.4112903225806452</c:v>
                </c:pt>
                <c:pt idx="20">
                  <c:v>1.2552301255230125</c:v>
                </c:pt>
                <c:pt idx="21">
                  <c:v>1.2060301507537687</c:v>
                </c:pt>
                <c:pt idx="22">
                  <c:v>0.9536784741144414</c:v>
                </c:pt>
                <c:pt idx="23">
                  <c:v>1.0012515644555695</c:v>
                </c:pt>
                <c:pt idx="24">
                  <c:v>1.2311901504787961</c:v>
                </c:pt>
                <c:pt idx="25">
                  <c:v>1.8427518427518428</c:v>
                </c:pt>
                <c:pt idx="26">
                  <c:v>0.6381039197812215</c:v>
                </c:pt>
                <c:pt idx="27">
                  <c:v>0.97181729834791064</c:v>
                </c:pt>
                <c:pt idx="28">
                  <c:v>0.46210720887245843</c:v>
                </c:pt>
                <c:pt idx="29">
                  <c:v>0.9419152276295133</c:v>
                </c:pt>
                <c:pt idx="30">
                  <c:v>1.502145922746781</c:v>
                </c:pt>
                <c:pt idx="31">
                  <c:v>1.0279001468428781</c:v>
                </c:pt>
                <c:pt idx="32">
                  <c:v>0.76335877862595425</c:v>
                </c:pt>
                <c:pt idx="33">
                  <c:v>1.1049723756906078</c:v>
                </c:pt>
                <c:pt idx="34">
                  <c:v>1.431980906921241</c:v>
                </c:pt>
                <c:pt idx="35">
                  <c:v>0.74719800747198006</c:v>
                </c:pt>
                <c:pt idx="36">
                  <c:v>1.5384615384615385</c:v>
                </c:pt>
                <c:pt idx="37">
                  <c:v>0.27548209366391185</c:v>
                </c:pt>
                <c:pt idx="38">
                  <c:v>1.1560693641618498</c:v>
                </c:pt>
                <c:pt idx="39">
                  <c:v>1.415929203539823</c:v>
                </c:pt>
                <c:pt idx="40">
                  <c:v>1.1444921316165952</c:v>
                </c:pt>
                <c:pt idx="41">
                  <c:v>0.54347826086956519</c:v>
                </c:pt>
                <c:pt idx="42">
                  <c:v>1.5037593984962405</c:v>
                </c:pt>
                <c:pt idx="43">
                  <c:v>1.390644753476612</c:v>
                </c:pt>
                <c:pt idx="44">
                  <c:v>0.31210986267166041</c:v>
                </c:pt>
                <c:pt idx="45">
                  <c:v>0</c:v>
                </c:pt>
                <c:pt idx="46">
                  <c:v>1.7667844522968197</c:v>
                </c:pt>
                <c:pt idx="47">
                  <c:v>0.76335877862595425</c:v>
                </c:pt>
                <c:pt idx="48">
                  <c:v>0.70521861777150918</c:v>
                </c:pt>
                <c:pt idx="49">
                  <c:v>1.1522633744855968</c:v>
                </c:pt>
                <c:pt idx="50">
                  <c:v>0.38910505836575876</c:v>
                </c:pt>
                <c:pt idx="51">
                  <c:v>1.2738853503184713</c:v>
                </c:pt>
                <c:pt idx="52">
                  <c:v>1.1173184357541899</c:v>
                </c:pt>
                <c:pt idx="53">
                  <c:v>0.97323600973236013</c:v>
                </c:pt>
                <c:pt idx="54">
                  <c:v>0.62695924764890287</c:v>
                </c:pt>
                <c:pt idx="55">
                  <c:v>1.1904761904761905</c:v>
                </c:pt>
                <c:pt idx="56">
                  <c:v>2.1244309559939301</c:v>
                </c:pt>
                <c:pt idx="57">
                  <c:v>2.0855057351407718</c:v>
                </c:pt>
                <c:pt idx="58">
                  <c:v>1.3924050632911393</c:v>
                </c:pt>
                <c:pt idx="59">
                  <c:v>1.2059369202226344</c:v>
                </c:pt>
                <c:pt idx="60">
                  <c:v>0.79113924050632911</c:v>
                </c:pt>
                <c:pt idx="61">
                  <c:v>0.95579450418160095</c:v>
                </c:pt>
                <c:pt idx="62">
                  <c:v>1.7421602787456445</c:v>
                </c:pt>
                <c:pt idx="63">
                  <c:v>0.55555555555555558</c:v>
                </c:pt>
                <c:pt idx="64">
                  <c:v>1.5053763440860215</c:v>
                </c:pt>
                <c:pt idx="65">
                  <c:v>0.86321381142098275</c:v>
                </c:pt>
                <c:pt idx="66">
                  <c:v>1.4925373134328359</c:v>
                </c:pt>
                <c:pt idx="67">
                  <c:v>1.5</c:v>
                </c:pt>
                <c:pt idx="68">
                  <c:v>1.1547344110854503</c:v>
                </c:pt>
                <c:pt idx="69">
                  <c:v>1.1892963330029733</c:v>
                </c:pt>
                <c:pt idx="70">
                  <c:v>1.0917030567685591</c:v>
                </c:pt>
                <c:pt idx="71">
                  <c:v>1.9148936170212767</c:v>
                </c:pt>
                <c:pt idx="72">
                  <c:v>1.1627906976744187</c:v>
                </c:pt>
                <c:pt idx="73">
                  <c:v>1.7587939698492463</c:v>
                </c:pt>
                <c:pt idx="74">
                  <c:v>1.9438444924406046</c:v>
                </c:pt>
                <c:pt idx="75">
                  <c:v>0.43988269794721407</c:v>
                </c:pt>
                <c:pt idx="76">
                  <c:v>0.35587188612099646</c:v>
                </c:pt>
                <c:pt idx="77">
                  <c:v>0.32051282051282054</c:v>
                </c:pt>
                <c:pt idx="78">
                  <c:v>1.649746192893401</c:v>
                </c:pt>
                <c:pt idx="79">
                  <c:v>1.9867549668874172</c:v>
                </c:pt>
                <c:pt idx="80">
                  <c:v>0.76335877862595425</c:v>
                </c:pt>
                <c:pt idx="81">
                  <c:v>1.3377926421404682</c:v>
                </c:pt>
                <c:pt idx="82">
                  <c:v>1.0857763300760044</c:v>
                </c:pt>
                <c:pt idx="83">
                  <c:v>1.646542261251372</c:v>
                </c:pt>
                <c:pt idx="84">
                  <c:v>0.86580086580086579</c:v>
                </c:pt>
                <c:pt idx="85">
                  <c:v>1.7191977077363896</c:v>
                </c:pt>
                <c:pt idx="86">
                  <c:v>0.98452883263009849</c:v>
                </c:pt>
                <c:pt idx="87">
                  <c:v>1.4106583072100314</c:v>
                </c:pt>
                <c:pt idx="88">
                  <c:v>1.3100436681222707</c:v>
                </c:pt>
                <c:pt idx="89">
                  <c:v>1.5046296296296295</c:v>
                </c:pt>
                <c:pt idx="90">
                  <c:v>1.1603375527426161</c:v>
                </c:pt>
                <c:pt idx="91">
                  <c:v>1.8691588785046729</c:v>
                </c:pt>
                <c:pt idx="92">
                  <c:v>1.3531799729364005</c:v>
                </c:pt>
                <c:pt idx="93">
                  <c:v>0.26041666666666669</c:v>
                </c:pt>
                <c:pt idx="94">
                  <c:v>1.2031139419674453</c:v>
                </c:pt>
                <c:pt idx="95">
                  <c:v>0.54421768707482998</c:v>
                </c:pt>
                <c:pt idx="96">
                  <c:v>0.3656307129798903</c:v>
                </c:pt>
                <c:pt idx="97">
                  <c:v>0.87796312554872691</c:v>
                </c:pt>
                <c:pt idx="98">
                  <c:v>1.2269938650306749</c:v>
                </c:pt>
                <c:pt idx="99">
                  <c:v>1.3157894736842106</c:v>
                </c:pt>
                <c:pt idx="100">
                  <c:v>1.0825439783491204</c:v>
                </c:pt>
                <c:pt idx="101">
                  <c:v>0.98360655737704916</c:v>
                </c:pt>
                <c:pt idx="102">
                  <c:v>0.70796460176991149</c:v>
                </c:pt>
                <c:pt idx="103">
                  <c:v>1.7241379310344827</c:v>
                </c:pt>
                <c:pt idx="104">
                  <c:v>1.075268817204301</c:v>
                </c:pt>
                <c:pt idx="105">
                  <c:v>1.5056461731493098</c:v>
                </c:pt>
                <c:pt idx="106">
                  <c:v>0.23201856148491878</c:v>
                </c:pt>
                <c:pt idx="107">
                  <c:v>1.3173652694610778</c:v>
                </c:pt>
                <c:pt idx="108">
                  <c:v>0.970873786407767</c:v>
                </c:pt>
                <c:pt idx="109">
                  <c:v>2.0920502092050208</c:v>
                </c:pt>
                <c:pt idx="110">
                  <c:v>1.7496635262449529</c:v>
                </c:pt>
                <c:pt idx="111">
                  <c:v>2.1761658031088085</c:v>
                </c:pt>
                <c:pt idx="112">
                  <c:v>1.6666666666666667</c:v>
                </c:pt>
                <c:pt idx="113">
                  <c:v>0.49099836333878888</c:v>
                </c:pt>
                <c:pt idx="114">
                  <c:v>0.89086859688195996</c:v>
                </c:pt>
                <c:pt idx="115">
                  <c:v>2.1276595744680851</c:v>
                </c:pt>
                <c:pt idx="116">
                  <c:v>0.89786756453423122</c:v>
                </c:pt>
                <c:pt idx="117">
                  <c:v>0.52770448548812665</c:v>
                </c:pt>
                <c:pt idx="118">
                  <c:v>0</c:v>
                </c:pt>
                <c:pt idx="119">
                  <c:v>1.3738959764474976</c:v>
                </c:pt>
                <c:pt idx="120">
                  <c:v>1.9525801952580195</c:v>
                </c:pt>
                <c:pt idx="121">
                  <c:v>1.0126582278481013</c:v>
                </c:pt>
                <c:pt idx="122">
                  <c:v>1.4925373134328359</c:v>
                </c:pt>
                <c:pt idx="123">
                  <c:v>1.5277777777777777</c:v>
                </c:pt>
                <c:pt idx="124">
                  <c:v>1.1083743842364533</c:v>
                </c:pt>
                <c:pt idx="125">
                  <c:v>2.1186440677966103</c:v>
                </c:pt>
                <c:pt idx="126">
                  <c:v>1.9347037484885128</c:v>
                </c:pt>
                <c:pt idx="127">
                  <c:v>1.0854816824966078</c:v>
                </c:pt>
                <c:pt idx="128">
                  <c:v>1.6643550624133148</c:v>
                </c:pt>
                <c:pt idx="129">
                  <c:v>1.2750455373406193</c:v>
                </c:pt>
                <c:pt idx="130">
                  <c:v>1.1709601873536299</c:v>
                </c:pt>
                <c:pt idx="131">
                  <c:v>1.0141987829614605</c:v>
                </c:pt>
                <c:pt idx="132">
                  <c:v>1.727447216890595</c:v>
                </c:pt>
                <c:pt idx="133">
                  <c:v>1.171875</c:v>
                </c:pt>
                <c:pt idx="134">
                  <c:v>1.2891344383057091</c:v>
                </c:pt>
                <c:pt idx="135">
                  <c:v>1.0033444816053512</c:v>
                </c:pt>
                <c:pt idx="136">
                  <c:v>1.5734265734265733</c:v>
                </c:pt>
                <c:pt idx="137">
                  <c:v>0.51546391752577314</c:v>
                </c:pt>
                <c:pt idx="138">
                  <c:v>1.3681592039800996</c:v>
                </c:pt>
                <c:pt idx="139">
                  <c:v>1.4379084967320261</c:v>
                </c:pt>
                <c:pt idx="140">
                  <c:v>0.23828435266084194</c:v>
                </c:pt>
                <c:pt idx="141">
                  <c:v>1.118881118881119</c:v>
                </c:pt>
                <c:pt idx="142">
                  <c:v>1.3630731102850062</c:v>
                </c:pt>
                <c:pt idx="143">
                  <c:v>0.65104166666666663</c:v>
                </c:pt>
                <c:pt idx="144">
                  <c:v>2.0725388601036268</c:v>
                </c:pt>
                <c:pt idx="145">
                  <c:v>1.279317697228145</c:v>
                </c:pt>
                <c:pt idx="146">
                  <c:v>0</c:v>
                </c:pt>
                <c:pt idx="147">
                  <c:v>1.2213740458015268</c:v>
                </c:pt>
                <c:pt idx="148">
                  <c:v>1.0158013544018059</c:v>
                </c:pt>
                <c:pt idx="149">
                  <c:v>1.9911504424778761</c:v>
                </c:pt>
                <c:pt idx="150">
                  <c:v>1.6238159675236807</c:v>
                </c:pt>
                <c:pt idx="151">
                  <c:v>1.1538461538461537</c:v>
                </c:pt>
                <c:pt idx="152">
                  <c:v>2.073365231259968</c:v>
                </c:pt>
                <c:pt idx="153">
                  <c:v>0.98814229249011853</c:v>
                </c:pt>
                <c:pt idx="154">
                  <c:v>2.43161094224924</c:v>
                </c:pt>
                <c:pt idx="155">
                  <c:v>1.3793103448275863</c:v>
                </c:pt>
                <c:pt idx="156">
                  <c:v>0.60728744939271251</c:v>
                </c:pt>
                <c:pt idx="157">
                  <c:v>1.745635910224439</c:v>
                </c:pt>
                <c:pt idx="158">
                  <c:v>1.3123359580052494</c:v>
                </c:pt>
                <c:pt idx="159">
                  <c:v>0.90909090909090906</c:v>
                </c:pt>
                <c:pt idx="160">
                  <c:v>0.82474226804123707</c:v>
                </c:pt>
                <c:pt idx="161">
                  <c:v>2.5730994152046782</c:v>
                </c:pt>
                <c:pt idx="162">
                  <c:v>2.2922636103151861</c:v>
                </c:pt>
                <c:pt idx="163">
                  <c:v>3.2863849765258215</c:v>
                </c:pt>
                <c:pt idx="164">
                  <c:v>1.6845329249617151</c:v>
                </c:pt>
                <c:pt idx="165">
                  <c:v>2.150537634408602</c:v>
                </c:pt>
                <c:pt idx="166">
                  <c:v>3.2454361054766734</c:v>
                </c:pt>
                <c:pt idx="167">
                  <c:v>2.1352313167259784</c:v>
                </c:pt>
                <c:pt idx="168">
                  <c:v>2.6785714285714284</c:v>
                </c:pt>
                <c:pt idx="169">
                  <c:v>1.2422360248447204</c:v>
                </c:pt>
                <c:pt idx="170">
                  <c:v>2.622950819672131</c:v>
                </c:pt>
                <c:pt idx="171">
                  <c:v>0.92081031307550643</c:v>
                </c:pt>
                <c:pt idx="172">
                  <c:v>1.8867924528301887</c:v>
                </c:pt>
                <c:pt idx="173">
                  <c:v>3.1007751937984498</c:v>
                </c:pt>
                <c:pt idx="174">
                  <c:v>2.0618556701030926</c:v>
                </c:pt>
                <c:pt idx="175">
                  <c:v>2.3102310231023102</c:v>
                </c:pt>
                <c:pt idx="176">
                  <c:v>1.5421115065243178</c:v>
                </c:pt>
                <c:pt idx="177">
                  <c:v>0.76045627376425851</c:v>
                </c:pt>
                <c:pt idx="178">
                  <c:v>1.2131715771230502</c:v>
                </c:pt>
                <c:pt idx="179">
                  <c:v>0.54249547920433994</c:v>
                </c:pt>
                <c:pt idx="180">
                  <c:v>0.83449235048678716</c:v>
                </c:pt>
                <c:pt idx="181">
                  <c:v>1.0676156583629892</c:v>
                </c:pt>
              </c:numCache>
            </c:numRef>
          </c:yVal>
          <c:bubbleSize>
            <c:numRef>
              <c:f>'Дума партии'!$J$2:$J$184</c:f>
              <c:numCache>
                <c:formatCode>General</c:formatCode>
                <c:ptCount val="182"/>
                <c:pt idx="0">
                  <c:v>2451</c:v>
                </c:pt>
                <c:pt idx="1">
                  <c:v>1779</c:v>
                </c:pt>
                <c:pt idx="2">
                  <c:v>1942</c:v>
                </c:pt>
                <c:pt idx="3">
                  <c:v>2110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422</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2240</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1292</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290</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2226</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3017</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8-36CE-4AFB-9313-7A7B86C5B0D3}"/>
            </c:ext>
          </c:extLst>
        </c:ser>
        <c:ser>
          <c:idx val="5"/>
          <c:order val="9"/>
          <c:tx>
            <c:strRef>
              <c:f>'Дума партии'!$AT$1</c:f>
              <c:strCache>
                <c:ptCount val="1"/>
                <c:pt idx="0">
                  <c:v>КР</c:v>
                </c:pt>
              </c:strCache>
            </c:strRef>
          </c:tx>
          <c:spPr>
            <a:solidFill>
              <a:srgbClr val="FF9999">
                <a:alpha val="50196"/>
              </a:srgbClr>
            </a:solidFill>
            <a:ln w="25400"/>
          </c:spPr>
          <c:invertIfNegative val="0"/>
          <c:xVal>
            <c:numRef>
              <c:f>'Дума партии'!$O$2:$O$184</c:f>
              <c:numCache>
                <c:formatCode>0.0</c:formatCode>
                <c:ptCount val="182"/>
                <c:pt idx="0">
                  <c:v>65.769073847409217</c:v>
                </c:pt>
                <c:pt idx="1">
                  <c:v>54.693648116919618</c:v>
                </c:pt>
                <c:pt idx="2">
                  <c:v>56.333676622039135</c:v>
                </c:pt>
                <c:pt idx="3">
                  <c:v>56.919431279620852</c:v>
                </c:pt>
                <c:pt idx="4">
                  <c:v>49.812130971551262</c:v>
                </c:pt>
                <c:pt idx="5">
                  <c:v>52.610030706243606</c:v>
                </c:pt>
                <c:pt idx="6">
                  <c:v>62.290927521540802</c:v>
                </c:pt>
                <c:pt idx="7">
                  <c:v>71.452328159645234</c:v>
                </c:pt>
                <c:pt idx="8">
                  <c:v>73.707753479125245</c:v>
                </c:pt>
                <c:pt idx="9">
                  <c:v>38.504037399065027</c:v>
                </c:pt>
                <c:pt idx="10">
                  <c:v>26.023778071334213</c:v>
                </c:pt>
                <c:pt idx="11">
                  <c:v>73.80952380952381</c:v>
                </c:pt>
                <c:pt idx="12">
                  <c:v>52.41128298453139</c:v>
                </c:pt>
                <c:pt idx="13">
                  <c:v>35.041666666666664</c:v>
                </c:pt>
                <c:pt idx="14">
                  <c:v>48.479868529170091</c:v>
                </c:pt>
                <c:pt idx="15">
                  <c:v>30.726256983240223</c:v>
                </c:pt>
                <c:pt idx="16">
                  <c:v>49.526066350710899</c:v>
                </c:pt>
                <c:pt idx="17">
                  <c:v>34.267413931144915</c:v>
                </c:pt>
                <c:pt idx="18">
                  <c:v>48.776223776223773</c:v>
                </c:pt>
                <c:pt idx="19">
                  <c:v>36.920222634508349</c:v>
                </c:pt>
                <c:pt idx="20">
                  <c:v>26.006528835690968</c:v>
                </c:pt>
                <c:pt idx="21">
                  <c:v>47.85954785954786</c:v>
                </c:pt>
                <c:pt idx="22">
                  <c:v>33.182844243792324</c:v>
                </c:pt>
                <c:pt idx="23">
                  <c:v>38.321342925659472</c:v>
                </c:pt>
                <c:pt idx="24">
                  <c:v>32.349052446011456</c:v>
                </c:pt>
                <c:pt idx="25">
                  <c:v>38.541666666666664</c:v>
                </c:pt>
                <c:pt idx="26">
                  <c:v>54.414682539682538</c:v>
                </c:pt>
                <c:pt idx="27">
                  <c:v>44.678111587982833</c:v>
                </c:pt>
                <c:pt idx="28">
                  <c:v>48.960216998191683</c:v>
                </c:pt>
                <c:pt idx="29">
                  <c:v>36.23435722411832</c:v>
                </c:pt>
                <c:pt idx="30">
                  <c:v>41.570026761819804</c:v>
                </c:pt>
                <c:pt idx="31">
                  <c:v>30.401785714285715</c:v>
                </c:pt>
                <c:pt idx="32">
                  <c:v>40.432098765432102</c:v>
                </c:pt>
                <c:pt idx="33">
                  <c:v>95.27145359019265</c:v>
                </c:pt>
                <c:pt idx="34">
                  <c:v>43.419689119170982</c:v>
                </c:pt>
                <c:pt idx="35">
                  <c:v>61.180952380952384</c:v>
                </c:pt>
                <c:pt idx="36">
                  <c:v>82.278481012658233</c:v>
                </c:pt>
                <c:pt idx="37">
                  <c:v>37.891440501043839</c:v>
                </c:pt>
                <c:pt idx="38">
                  <c:v>40.373395565927652</c:v>
                </c:pt>
                <c:pt idx="39">
                  <c:v>40.014164305949009</c:v>
                </c:pt>
                <c:pt idx="40">
                  <c:v>35.019646365422396</c:v>
                </c:pt>
                <c:pt idx="41">
                  <c:v>32.91592128801431</c:v>
                </c:pt>
                <c:pt idx="42">
                  <c:v>34.583952451708768</c:v>
                </c:pt>
                <c:pt idx="43">
                  <c:v>34.065460809646858</c:v>
                </c:pt>
                <c:pt idx="44">
                  <c:v>66.542133665421332</c:v>
                </c:pt>
                <c:pt idx="45">
                  <c:v>82.972136222910223</c:v>
                </c:pt>
                <c:pt idx="46">
                  <c:v>64.759725400457668</c:v>
                </c:pt>
                <c:pt idx="47">
                  <c:v>40.809968847352025</c:v>
                </c:pt>
                <c:pt idx="48">
                  <c:v>45.801033591731269</c:v>
                </c:pt>
                <c:pt idx="49">
                  <c:v>54.984354045596781</c:v>
                </c:pt>
                <c:pt idx="50">
                  <c:v>40.988835725677831</c:v>
                </c:pt>
                <c:pt idx="51">
                  <c:v>37.672465506898618</c:v>
                </c:pt>
                <c:pt idx="52">
                  <c:v>42.771804062126641</c:v>
                </c:pt>
                <c:pt idx="53">
                  <c:v>78.285714285714292</c:v>
                </c:pt>
                <c:pt idx="54">
                  <c:v>35.802469135802468</c:v>
                </c:pt>
                <c:pt idx="55">
                  <c:v>34.591626630061768</c:v>
                </c:pt>
                <c:pt idx="56">
                  <c:v>43.99198931909212</c:v>
                </c:pt>
                <c:pt idx="57">
                  <c:v>35.998498498498499</c:v>
                </c:pt>
                <c:pt idx="58">
                  <c:v>28.264758497316638</c:v>
                </c:pt>
                <c:pt idx="59">
                  <c:v>41.413753361505954</c:v>
                </c:pt>
                <c:pt idx="60">
                  <c:v>38.279830405814657</c:v>
                </c:pt>
                <c:pt idx="61">
                  <c:v>44.122298365840798</c:v>
                </c:pt>
                <c:pt idx="62">
                  <c:v>28.415841584158414</c:v>
                </c:pt>
                <c:pt idx="63">
                  <c:v>28.213166144200628</c:v>
                </c:pt>
                <c:pt idx="64">
                  <c:v>31.632653061224488</c:v>
                </c:pt>
                <c:pt idx="65">
                  <c:v>57.634902411021812</c:v>
                </c:pt>
                <c:pt idx="66">
                  <c:v>65.963431786216603</c:v>
                </c:pt>
                <c:pt idx="67">
                  <c:v>59.171597633136095</c:v>
                </c:pt>
                <c:pt idx="68">
                  <c:v>46.972972972972975</c:v>
                </c:pt>
                <c:pt idx="69">
                  <c:v>52.910330361824855</c:v>
                </c:pt>
                <c:pt idx="70">
                  <c:v>36.995153473344104</c:v>
                </c:pt>
                <c:pt idx="71">
                  <c:v>41.978609625668447</c:v>
                </c:pt>
                <c:pt idx="72">
                  <c:v>40.463576158940398</c:v>
                </c:pt>
                <c:pt idx="73">
                  <c:v>22.40990990990991</c:v>
                </c:pt>
                <c:pt idx="74">
                  <c:v>35.343511450381676</c:v>
                </c:pt>
                <c:pt idx="75">
                  <c:v>51.278195488721806</c:v>
                </c:pt>
                <c:pt idx="76">
                  <c:v>55.201177625122668</c:v>
                </c:pt>
                <c:pt idx="77">
                  <c:v>57.815126050420169</c:v>
                </c:pt>
                <c:pt idx="78">
                  <c:v>51.873767258382642</c:v>
                </c:pt>
                <c:pt idx="79">
                  <c:v>42.535211267605632</c:v>
                </c:pt>
                <c:pt idx="80">
                  <c:v>51.540983606557376</c:v>
                </c:pt>
                <c:pt idx="81">
                  <c:v>40.625</c:v>
                </c:pt>
                <c:pt idx="82">
                  <c:v>47.904811174340402</c:v>
                </c:pt>
                <c:pt idx="83">
                  <c:v>44.525904203323556</c:v>
                </c:pt>
                <c:pt idx="84">
                  <c:v>40.621336459554513</c:v>
                </c:pt>
                <c:pt idx="85">
                  <c:v>40.938416422287389</c:v>
                </c:pt>
                <c:pt idx="86">
                  <c:v>46.500981033355131</c:v>
                </c:pt>
                <c:pt idx="87">
                  <c:v>35.444444444444443</c:v>
                </c:pt>
                <c:pt idx="88">
                  <c:v>38.161993769470406</c:v>
                </c:pt>
                <c:pt idx="89">
                  <c:v>43.880142204164549</c:v>
                </c:pt>
                <c:pt idx="90">
                  <c:v>49.60753532182104</c:v>
                </c:pt>
                <c:pt idx="91">
                  <c:v>51.973284760170003</c:v>
                </c:pt>
                <c:pt idx="92">
                  <c:v>56.155015197568389</c:v>
                </c:pt>
                <c:pt idx="93">
                  <c:v>63.973344439816742</c:v>
                </c:pt>
                <c:pt idx="94">
                  <c:v>66.090611863615138</c:v>
                </c:pt>
                <c:pt idx="95">
                  <c:v>65.528455284552848</c:v>
                </c:pt>
                <c:pt idx="96">
                  <c:v>59.78142076502732</c:v>
                </c:pt>
                <c:pt idx="97">
                  <c:v>47.716799329702553</c:v>
                </c:pt>
                <c:pt idx="98">
                  <c:v>53.094462540716613</c:v>
                </c:pt>
                <c:pt idx="99">
                  <c:v>31.606805293005671</c:v>
                </c:pt>
                <c:pt idx="100">
                  <c:v>36.172295643661279</c:v>
                </c:pt>
                <c:pt idx="101">
                  <c:v>57.703081232492998</c:v>
                </c:pt>
                <c:pt idx="102">
                  <c:v>57.186234817813762</c:v>
                </c:pt>
                <c:pt idx="103">
                  <c:v>100</c:v>
                </c:pt>
                <c:pt idx="104">
                  <c:v>90.865384615384613</c:v>
                </c:pt>
                <c:pt idx="105">
                  <c:v>45.725760183591511</c:v>
                </c:pt>
                <c:pt idx="106">
                  <c:v>38.141592920353979</c:v>
                </c:pt>
                <c:pt idx="107">
                  <c:v>35.991379310344826</c:v>
                </c:pt>
                <c:pt idx="108">
                  <c:v>40.813135261923378</c:v>
                </c:pt>
                <c:pt idx="109">
                  <c:v>37.786561264822133</c:v>
                </c:pt>
                <c:pt idx="110">
                  <c:v>42.659279778393355</c:v>
                </c:pt>
                <c:pt idx="111">
                  <c:v>39.198131568703779</c:v>
                </c:pt>
                <c:pt idx="112">
                  <c:v>39.279869067103107</c:v>
                </c:pt>
                <c:pt idx="113">
                  <c:v>42.108890420399725</c:v>
                </c:pt>
                <c:pt idx="114">
                  <c:v>37.489609310058185</c:v>
                </c:pt>
                <c:pt idx="115">
                  <c:v>35.413899955732624</c:v>
                </c:pt>
                <c:pt idx="116">
                  <c:v>48.197955890263586</c:v>
                </c:pt>
                <c:pt idx="117">
                  <c:v>36.372360844529751</c:v>
                </c:pt>
                <c:pt idx="118">
                  <c:v>0</c:v>
                </c:pt>
                <c:pt idx="119">
                  <c:v>41.97530864197531</c:v>
                </c:pt>
                <c:pt idx="120">
                  <c:v>32.253711201079625</c:v>
                </c:pt>
                <c:pt idx="121">
                  <c:v>51.320918146383718</c:v>
                </c:pt>
                <c:pt idx="122">
                  <c:v>33.550325488232346</c:v>
                </c:pt>
                <c:pt idx="123">
                  <c:v>35.837864557587743</c:v>
                </c:pt>
                <c:pt idx="124">
                  <c:v>43.203883495145632</c:v>
                </c:pt>
                <c:pt idx="125">
                  <c:v>40.560640732265448</c:v>
                </c:pt>
                <c:pt idx="126">
                  <c:v>36.066288704753596</c:v>
                </c:pt>
                <c:pt idx="127">
                  <c:v>34.057301293900181</c:v>
                </c:pt>
                <c:pt idx="128">
                  <c:v>36.285858077503775</c:v>
                </c:pt>
                <c:pt idx="129">
                  <c:v>42.036753445635526</c:v>
                </c:pt>
                <c:pt idx="130">
                  <c:v>70.199587061252586</c:v>
                </c:pt>
                <c:pt idx="131">
                  <c:v>31.971465629053178</c:v>
                </c:pt>
                <c:pt idx="132">
                  <c:v>35.394021739130437</c:v>
                </c:pt>
                <c:pt idx="133">
                  <c:v>35.140700068634182</c:v>
                </c:pt>
                <c:pt idx="134">
                  <c:v>29.351351351351351</c:v>
                </c:pt>
                <c:pt idx="135">
                  <c:v>42.471590909090907</c:v>
                </c:pt>
                <c:pt idx="136">
                  <c:v>55.265700483091784</c:v>
                </c:pt>
                <c:pt idx="137">
                  <c:v>51.10526315789474</c:v>
                </c:pt>
                <c:pt idx="138">
                  <c:v>36.855895196506552</c:v>
                </c:pt>
                <c:pt idx="139">
                  <c:v>34.820209376422397</c:v>
                </c:pt>
                <c:pt idx="140">
                  <c:v>69.944444444444443</c:v>
                </c:pt>
                <c:pt idx="141">
                  <c:v>33.010156971375807</c:v>
                </c:pt>
                <c:pt idx="142">
                  <c:v>40.26290165530672</c:v>
                </c:pt>
                <c:pt idx="143">
                  <c:v>38.359412043622569</c:v>
                </c:pt>
                <c:pt idx="144">
                  <c:v>30.732484076433121</c:v>
                </c:pt>
                <c:pt idx="145">
                  <c:v>37.028301886792455</c:v>
                </c:pt>
                <c:pt idx="146">
                  <c:v>35.288367546432063</c:v>
                </c:pt>
                <c:pt idx="147">
                  <c:v>34.275248560962844</c:v>
                </c:pt>
                <c:pt idx="148">
                  <c:v>38.125802310654684</c:v>
                </c:pt>
                <c:pt idx="149">
                  <c:v>40.745732255166217</c:v>
                </c:pt>
                <c:pt idx="150">
                  <c:v>27.971233913701742</c:v>
                </c:pt>
                <c:pt idx="151">
                  <c:v>28.618602091359385</c:v>
                </c:pt>
                <c:pt idx="152">
                  <c:v>32.336255801959773</c:v>
                </c:pt>
                <c:pt idx="153">
                  <c:v>24.444444444444443</c:v>
                </c:pt>
                <c:pt idx="154">
                  <c:v>28.796498905908095</c:v>
                </c:pt>
                <c:pt idx="155">
                  <c:v>28.420227361818895</c:v>
                </c:pt>
                <c:pt idx="156">
                  <c:v>33.021390374331553</c:v>
                </c:pt>
                <c:pt idx="157">
                  <c:v>53.324468085106382</c:v>
                </c:pt>
                <c:pt idx="158">
                  <c:v>48.549810844892811</c:v>
                </c:pt>
                <c:pt idx="159">
                  <c:v>32.177931831311383</c:v>
                </c:pt>
                <c:pt idx="160">
                  <c:v>44.659300184162063</c:v>
                </c:pt>
                <c:pt idx="161">
                  <c:v>28.372555518727211</c:v>
                </c:pt>
                <c:pt idx="162">
                  <c:v>26.083707025411062</c:v>
                </c:pt>
                <c:pt idx="163">
                  <c:v>27.099236641221374</c:v>
                </c:pt>
                <c:pt idx="164">
                  <c:v>29.520795660036168</c:v>
                </c:pt>
                <c:pt idx="165">
                  <c:v>26.91194708557255</c:v>
                </c:pt>
                <c:pt idx="166">
                  <c:v>22.96983758700696</c:v>
                </c:pt>
                <c:pt idx="167">
                  <c:v>23.950826621449767</c:v>
                </c:pt>
                <c:pt idx="168">
                  <c:v>26.504394861392832</c:v>
                </c:pt>
                <c:pt idx="169">
                  <c:v>22.563417890520693</c:v>
                </c:pt>
                <c:pt idx="170">
                  <c:v>22.906496432594817</c:v>
                </c:pt>
                <c:pt idx="171">
                  <c:v>42.521534847298355</c:v>
                </c:pt>
                <c:pt idx="172">
                  <c:v>34.256694367497694</c:v>
                </c:pt>
                <c:pt idx="173">
                  <c:v>31.412337662337663</c:v>
                </c:pt>
                <c:pt idx="174">
                  <c:v>37.596899224806201</c:v>
                </c:pt>
                <c:pt idx="175">
                  <c:v>35.335276967930028</c:v>
                </c:pt>
                <c:pt idx="176">
                  <c:v>49.561146869514339</c:v>
                </c:pt>
                <c:pt idx="177">
                  <c:v>64.645637034002462</c:v>
                </c:pt>
                <c:pt idx="178">
                  <c:v>31.949058693244741</c:v>
                </c:pt>
                <c:pt idx="179">
                  <c:v>42.149390243902438</c:v>
                </c:pt>
                <c:pt idx="180">
                  <c:v>43.365500603136311</c:v>
                </c:pt>
                <c:pt idx="181">
                  <c:v>26.360225140712945</c:v>
                </c:pt>
              </c:numCache>
            </c:numRef>
          </c:xVal>
          <c:yVal>
            <c:numRef>
              <c:f>'Дума партии'!$AT$2:$AT$184</c:f>
              <c:numCache>
                <c:formatCode>0.0</c:formatCode>
                <c:ptCount val="182"/>
                <c:pt idx="0">
                  <c:v>2.1712158808933002</c:v>
                </c:pt>
                <c:pt idx="1">
                  <c:v>0.82389289392378995</c:v>
                </c:pt>
                <c:pt idx="2">
                  <c:v>0.36596523330283626</c:v>
                </c:pt>
                <c:pt idx="3">
                  <c:v>1.086048454469507</c:v>
                </c:pt>
                <c:pt idx="4">
                  <c:v>1.4038876889848813</c:v>
                </c:pt>
                <c:pt idx="5">
                  <c:v>1.762977473065622</c:v>
                </c:pt>
                <c:pt idx="6">
                  <c:v>1.6574585635359116</c:v>
                </c:pt>
                <c:pt idx="7">
                  <c:v>1.7982799061767005</c:v>
                </c:pt>
                <c:pt idx="8">
                  <c:v>0.94403236682400538</c:v>
                </c:pt>
                <c:pt idx="9">
                  <c:v>3.9018952062430325</c:v>
                </c:pt>
                <c:pt idx="10">
                  <c:v>4.0609137055837561</c:v>
                </c:pt>
                <c:pt idx="11">
                  <c:v>0.30721966205837176</c:v>
                </c:pt>
                <c:pt idx="12">
                  <c:v>3.9930555555555554</c:v>
                </c:pt>
                <c:pt idx="13">
                  <c:v>3.6860879904875148</c:v>
                </c:pt>
                <c:pt idx="14">
                  <c:v>0.84745762711864403</c:v>
                </c:pt>
                <c:pt idx="15">
                  <c:v>1.4876033057851239</c:v>
                </c:pt>
                <c:pt idx="16">
                  <c:v>0.9569377990430622</c:v>
                </c:pt>
                <c:pt idx="17">
                  <c:v>2.3696682464454977</c:v>
                </c:pt>
                <c:pt idx="18">
                  <c:v>2.2700119474313021</c:v>
                </c:pt>
                <c:pt idx="19">
                  <c:v>1.2096774193548387</c:v>
                </c:pt>
                <c:pt idx="20">
                  <c:v>1.6736401673640167</c:v>
                </c:pt>
                <c:pt idx="21">
                  <c:v>0.8040201005025126</c:v>
                </c:pt>
                <c:pt idx="22">
                  <c:v>2.7247956403269753</c:v>
                </c:pt>
                <c:pt idx="23">
                  <c:v>2.5031289111389237</c:v>
                </c:pt>
                <c:pt idx="24">
                  <c:v>1.7783857729138166</c:v>
                </c:pt>
                <c:pt idx="25">
                  <c:v>2.8255528255528257</c:v>
                </c:pt>
                <c:pt idx="26">
                  <c:v>2.3701002734731085</c:v>
                </c:pt>
                <c:pt idx="27">
                  <c:v>1.554907677356657</c:v>
                </c:pt>
                <c:pt idx="28">
                  <c:v>2.1256931608133085</c:v>
                </c:pt>
                <c:pt idx="29">
                  <c:v>2.0408163265306123</c:v>
                </c:pt>
                <c:pt idx="30">
                  <c:v>2.5751072961373391</c:v>
                </c:pt>
                <c:pt idx="31">
                  <c:v>2.790014684287812</c:v>
                </c:pt>
                <c:pt idx="32">
                  <c:v>2.2900763358778624</c:v>
                </c:pt>
                <c:pt idx="33">
                  <c:v>3.1307550644567219</c:v>
                </c:pt>
                <c:pt idx="34">
                  <c:v>0.71599045346062051</c:v>
                </c:pt>
                <c:pt idx="35">
                  <c:v>1.3698630136986301</c:v>
                </c:pt>
                <c:pt idx="36">
                  <c:v>1.1721611721611722</c:v>
                </c:pt>
                <c:pt idx="37">
                  <c:v>1.3774104683195592</c:v>
                </c:pt>
                <c:pt idx="38">
                  <c:v>1.1560693641618498</c:v>
                </c:pt>
                <c:pt idx="39">
                  <c:v>2.1238938053097347</c:v>
                </c:pt>
                <c:pt idx="40">
                  <c:v>1.7167381974248928</c:v>
                </c:pt>
                <c:pt idx="41">
                  <c:v>1.0869565217391304</c:v>
                </c:pt>
                <c:pt idx="42">
                  <c:v>2.1482277121374866</c:v>
                </c:pt>
                <c:pt idx="43">
                  <c:v>3.2869785082174463</c:v>
                </c:pt>
                <c:pt idx="44">
                  <c:v>0.81148564294631709</c:v>
                </c:pt>
                <c:pt idx="45">
                  <c:v>0.5612722170252572</c:v>
                </c:pt>
                <c:pt idx="46">
                  <c:v>0.70671378091872794</c:v>
                </c:pt>
                <c:pt idx="47">
                  <c:v>1.9847328244274809</c:v>
                </c:pt>
                <c:pt idx="48">
                  <c:v>2.397743300423131</c:v>
                </c:pt>
                <c:pt idx="49">
                  <c:v>1.3168724279835391</c:v>
                </c:pt>
                <c:pt idx="50">
                  <c:v>2.0752269779507135</c:v>
                </c:pt>
                <c:pt idx="51">
                  <c:v>3.0254777070063694</c:v>
                </c:pt>
                <c:pt idx="52">
                  <c:v>2.2346368715083798</c:v>
                </c:pt>
                <c:pt idx="53">
                  <c:v>0.97323600973236013</c:v>
                </c:pt>
                <c:pt idx="54">
                  <c:v>3.2915360501567399</c:v>
                </c:pt>
                <c:pt idx="55">
                  <c:v>2.5793650793650795</c:v>
                </c:pt>
                <c:pt idx="56">
                  <c:v>1.5174506828528074</c:v>
                </c:pt>
                <c:pt idx="57">
                  <c:v>2.0855057351407718</c:v>
                </c:pt>
                <c:pt idx="58">
                  <c:v>1.7721518987341771</c:v>
                </c:pt>
                <c:pt idx="59">
                  <c:v>2.8756957328385901</c:v>
                </c:pt>
                <c:pt idx="60">
                  <c:v>1.1075949367088607</c:v>
                </c:pt>
                <c:pt idx="61">
                  <c:v>1.1947431302270013</c:v>
                </c:pt>
                <c:pt idx="62">
                  <c:v>1.2195121951219512</c:v>
                </c:pt>
                <c:pt idx="63">
                  <c:v>2.2222222222222223</c:v>
                </c:pt>
                <c:pt idx="64">
                  <c:v>2.5806451612903225</c:v>
                </c:pt>
                <c:pt idx="65">
                  <c:v>2.0584329349269588</c:v>
                </c:pt>
                <c:pt idx="66">
                  <c:v>2.1321961620469083</c:v>
                </c:pt>
                <c:pt idx="67">
                  <c:v>2.5</c:v>
                </c:pt>
                <c:pt idx="68">
                  <c:v>4.1570438799076213</c:v>
                </c:pt>
                <c:pt idx="69">
                  <c:v>3.1714568880079286</c:v>
                </c:pt>
                <c:pt idx="70">
                  <c:v>1.0917030567685591</c:v>
                </c:pt>
                <c:pt idx="71">
                  <c:v>1.9148936170212767</c:v>
                </c:pt>
                <c:pt idx="72">
                  <c:v>1.9933554817275747</c:v>
                </c:pt>
                <c:pt idx="73">
                  <c:v>2.512562814070352</c:v>
                </c:pt>
                <c:pt idx="74">
                  <c:v>1.2958963282937366</c:v>
                </c:pt>
                <c:pt idx="75">
                  <c:v>1.0263929618768328</c:v>
                </c:pt>
                <c:pt idx="76">
                  <c:v>2.1352313167259784</c:v>
                </c:pt>
                <c:pt idx="77">
                  <c:v>3.2051282051282053</c:v>
                </c:pt>
                <c:pt idx="78">
                  <c:v>2.1573604060913705</c:v>
                </c:pt>
                <c:pt idx="79">
                  <c:v>1.9867549668874172</c:v>
                </c:pt>
                <c:pt idx="80">
                  <c:v>2.5445292620865141</c:v>
                </c:pt>
                <c:pt idx="81">
                  <c:v>3.3444816053511706</c:v>
                </c:pt>
                <c:pt idx="82">
                  <c:v>3.1487513572204127</c:v>
                </c:pt>
                <c:pt idx="83">
                  <c:v>3.0735455543358947</c:v>
                </c:pt>
                <c:pt idx="84">
                  <c:v>3.1746031746031744</c:v>
                </c:pt>
                <c:pt idx="85">
                  <c:v>3.8681948424068766</c:v>
                </c:pt>
                <c:pt idx="86">
                  <c:v>3.2348804500703237</c:v>
                </c:pt>
                <c:pt idx="87">
                  <c:v>4.5454545454545459</c:v>
                </c:pt>
                <c:pt idx="88">
                  <c:v>2.1834061135371181</c:v>
                </c:pt>
                <c:pt idx="89">
                  <c:v>2.0833333333333335</c:v>
                </c:pt>
                <c:pt idx="90">
                  <c:v>1.4767932489451476</c:v>
                </c:pt>
                <c:pt idx="91">
                  <c:v>1.2850467289719627</c:v>
                </c:pt>
                <c:pt idx="92">
                  <c:v>1.4884979702300405</c:v>
                </c:pt>
                <c:pt idx="93">
                  <c:v>1.3020833333333333</c:v>
                </c:pt>
                <c:pt idx="94">
                  <c:v>1.2738853503184713</c:v>
                </c:pt>
                <c:pt idx="95">
                  <c:v>1.4965986394557824</c:v>
                </c:pt>
                <c:pt idx="96">
                  <c:v>0.73126142595978061</c:v>
                </c:pt>
                <c:pt idx="97">
                  <c:v>1.4047410008779631</c:v>
                </c:pt>
                <c:pt idx="98">
                  <c:v>0.73619631901840488</c:v>
                </c:pt>
                <c:pt idx="99">
                  <c:v>2.6315789473684212</c:v>
                </c:pt>
                <c:pt idx="100">
                  <c:v>2.3004059539918811</c:v>
                </c:pt>
                <c:pt idx="101">
                  <c:v>1.0655737704918034</c:v>
                </c:pt>
                <c:pt idx="102">
                  <c:v>1.415929203539823</c:v>
                </c:pt>
                <c:pt idx="103">
                  <c:v>0</c:v>
                </c:pt>
                <c:pt idx="104">
                  <c:v>0</c:v>
                </c:pt>
                <c:pt idx="105">
                  <c:v>2.1329987452948558</c:v>
                </c:pt>
                <c:pt idx="106">
                  <c:v>1.6241299303944317</c:v>
                </c:pt>
                <c:pt idx="107">
                  <c:v>1.0778443113772456</c:v>
                </c:pt>
                <c:pt idx="108">
                  <c:v>1.1650485436893203</c:v>
                </c:pt>
                <c:pt idx="109">
                  <c:v>3.1380753138075312</c:v>
                </c:pt>
                <c:pt idx="110">
                  <c:v>1.3458950201884252</c:v>
                </c:pt>
                <c:pt idx="111">
                  <c:v>1.9689119170984455</c:v>
                </c:pt>
                <c:pt idx="112">
                  <c:v>2.2916666666666665</c:v>
                </c:pt>
                <c:pt idx="113">
                  <c:v>0.98199672667757776</c:v>
                </c:pt>
                <c:pt idx="114">
                  <c:v>1.7817371937639199</c:v>
                </c:pt>
                <c:pt idx="115">
                  <c:v>1.5018773466833542</c:v>
                </c:pt>
                <c:pt idx="116">
                  <c:v>1.122334455667789</c:v>
                </c:pt>
                <c:pt idx="117">
                  <c:v>2.5065963060686016</c:v>
                </c:pt>
                <c:pt idx="118">
                  <c:v>0</c:v>
                </c:pt>
                <c:pt idx="119">
                  <c:v>2.0608439646712462</c:v>
                </c:pt>
                <c:pt idx="120">
                  <c:v>1.2552301255230125</c:v>
                </c:pt>
                <c:pt idx="121">
                  <c:v>0.92827004219409281</c:v>
                </c:pt>
                <c:pt idx="122">
                  <c:v>2.2388059701492535</c:v>
                </c:pt>
                <c:pt idx="123">
                  <c:v>1.8055555555555556</c:v>
                </c:pt>
                <c:pt idx="124">
                  <c:v>0.98522167487684731</c:v>
                </c:pt>
                <c:pt idx="125">
                  <c:v>1.5536723163841808</c:v>
                </c:pt>
                <c:pt idx="126">
                  <c:v>1.6928657799274487</c:v>
                </c:pt>
                <c:pt idx="127">
                  <c:v>1.7639077340569878</c:v>
                </c:pt>
                <c:pt idx="128">
                  <c:v>1.5256588072122053</c:v>
                </c:pt>
                <c:pt idx="129">
                  <c:v>2.0036429872495445</c:v>
                </c:pt>
                <c:pt idx="130">
                  <c:v>1.639344262295082</c:v>
                </c:pt>
                <c:pt idx="131">
                  <c:v>2.028397565922921</c:v>
                </c:pt>
                <c:pt idx="132">
                  <c:v>2.4952015355086372</c:v>
                </c:pt>
                <c:pt idx="133">
                  <c:v>1.3671875</c:v>
                </c:pt>
                <c:pt idx="134">
                  <c:v>1.6574585635359116</c:v>
                </c:pt>
                <c:pt idx="135">
                  <c:v>1.5607580824972129</c:v>
                </c:pt>
                <c:pt idx="136">
                  <c:v>2.0979020979020979</c:v>
                </c:pt>
                <c:pt idx="137">
                  <c:v>0.92783505154639179</c:v>
                </c:pt>
                <c:pt idx="138">
                  <c:v>1.7412935323383085</c:v>
                </c:pt>
                <c:pt idx="139">
                  <c:v>1.9607843137254901</c:v>
                </c:pt>
                <c:pt idx="140">
                  <c:v>0.71485305798252585</c:v>
                </c:pt>
                <c:pt idx="141">
                  <c:v>2.6573426573426575</c:v>
                </c:pt>
                <c:pt idx="142">
                  <c:v>1.7348203221809171</c:v>
                </c:pt>
                <c:pt idx="143">
                  <c:v>1.171875</c:v>
                </c:pt>
                <c:pt idx="144">
                  <c:v>1.2953367875647668</c:v>
                </c:pt>
                <c:pt idx="145">
                  <c:v>1.0660980810234542</c:v>
                </c:pt>
                <c:pt idx="146">
                  <c:v>0.83102493074792239</c:v>
                </c:pt>
                <c:pt idx="147">
                  <c:v>2.4427480916030535</c:v>
                </c:pt>
                <c:pt idx="148">
                  <c:v>2.0316027088036117</c:v>
                </c:pt>
                <c:pt idx="149">
                  <c:v>1.6592920353982301</c:v>
                </c:pt>
                <c:pt idx="150">
                  <c:v>2.1650879566982408</c:v>
                </c:pt>
                <c:pt idx="151">
                  <c:v>2.1153846153846154</c:v>
                </c:pt>
                <c:pt idx="152">
                  <c:v>1.9138755980861244</c:v>
                </c:pt>
                <c:pt idx="153">
                  <c:v>1.9762845849802371</c:v>
                </c:pt>
                <c:pt idx="154">
                  <c:v>1.6717325227963526</c:v>
                </c:pt>
                <c:pt idx="155">
                  <c:v>1.9310344827586208</c:v>
                </c:pt>
                <c:pt idx="156">
                  <c:v>1.8218623481781377</c:v>
                </c:pt>
                <c:pt idx="157">
                  <c:v>2.7431421446384041</c:v>
                </c:pt>
                <c:pt idx="158">
                  <c:v>2.3622047244094486</c:v>
                </c:pt>
                <c:pt idx="159">
                  <c:v>2</c:v>
                </c:pt>
                <c:pt idx="160">
                  <c:v>0.61855670103092786</c:v>
                </c:pt>
                <c:pt idx="161">
                  <c:v>0.70175438596491224</c:v>
                </c:pt>
                <c:pt idx="162">
                  <c:v>1.8624641833810889</c:v>
                </c:pt>
                <c:pt idx="163">
                  <c:v>2.0344287949921753</c:v>
                </c:pt>
                <c:pt idx="164">
                  <c:v>1.6845329249617151</c:v>
                </c:pt>
                <c:pt idx="165">
                  <c:v>1.9969278033794162</c:v>
                </c:pt>
                <c:pt idx="166">
                  <c:v>2.8397565922920891</c:v>
                </c:pt>
                <c:pt idx="167">
                  <c:v>2.4911032028469751</c:v>
                </c:pt>
                <c:pt idx="168">
                  <c:v>1.7857142857142858</c:v>
                </c:pt>
                <c:pt idx="169">
                  <c:v>3.1055900621118013</c:v>
                </c:pt>
                <c:pt idx="170">
                  <c:v>1.3114754098360655</c:v>
                </c:pt>
                <c:pt idx="171">
                  <c:v>1.4732965009208103</c:v>
                </c:pt>
                <c:pt idx="172">
                  <c:v>2.4258760107816713</c:v>
                </c:pt>
                <c:pt idx="173">
                  <c:v>3.1007751937984498</c:v>
                </c:pt>
                <c:pt idx="174">
                  <c:v>2.3195876288659796</c:v>
                </c:pt>
                <c:pt idx="175">
                  <c:v>1.4851485148514851</c:v>
                </c:pt>
                <c:pt idx="176">
                  <c:v>2.2538552787663106</c:v>
                </c:pt>
                <c:pt idx="177">
                  <c:v>0.31685678073510776</c:v>
                </c:pt>
                <c:pt idx="178">
                  <c:v>1.559792027729636</c:v>
                </c:pt>
                <c:pt idx="179">
                  <c:v>2.1699819168173597</c:v>
                </c:pt>
                <c:pt idx="180">
                  <c:v>3.1988873435326841</c:v>
                </c:pt>
                <c:pt idx="181">
                  <c:v>1.4234875444839858</c:v>
                </c:pt>
              </c:numCache>
            </c:numRef>
          </c:yVal>
          <c:bubbleSize>
            <c:numRef>
              <c:f>'Дума партии'!$J$2:$J$184</c:f>
              <c:numCache>
                <c:formatCode>General</c:formatCode>
                <c:ptCount val="182"/>
                <c:pt idx="0">
                  <c:v>2451</c:v>
                </c:pt>
                <c:pt idx="1">
                  <c:v>1779</c:v>
                </c:pt>
                <c:pt idx="2">
                  <c:v>1942</c:v>
                </c:pt>
                <c:pt idx="3">
                  <c:v>2110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422</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2240</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1292</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290</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2226</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3017</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9-36CE-4AFB-9313-7A7B86C5B0D3}"/>
            </c:ext>
          </c:extLst>
        </c:ser>
        <c:ser>
          <c:idx val="6"/>
          <c:order val="10"/>
          <c:tx>
            <c:strRef>
              <c:f>'Дума партии'!$AV$1</c:f>
              <c:strCache>
                <c:ptCount val="1"/>
                <c:pt idx="0">
                  <c:v>Гражданская платф.</c:v>
                </c:pt>
              </c:strCache>
            </c:strRef>
          </c:tx>
          <c:spPr>
            <a:solidFill>
              <a:srgbClr val="FFCC00">
                <a:alpha val="50000"/>
              </a:srgbClr>
            </a:solidFill>
            <a:ln w="25400">
              <a:noFill/>
            </a:ln>
            <a:effectLst/>
          </c:spPr>
          <c:invertIfNegative val="0"/>
          <c:xVal>
            <c:numRef>
              <c:f>'Дума партии'!$O$2:$O$184</c:f>
              <c:numCache>
                <c:formatCode>0.0</c:formatCode>
                <c:ptCount val="182"/>
                <c:pt idx="0">
                  <c:v>65.769073847409217</c:v>
                </c:pt>
                <c:pt idx="1">
                  <c:v>54.693648116919618</c:v>
                </c:pt>
                <c:pt idx="2">
                  <c:v>56.333676622039135</c:v>
                </c:pt>
                <c:pt idx="3">
                  <c:v>56.919431279620852</c:v>
                </c:pt>
                <c:pt idx="4">
                  <c:v>49.812130971551262</c:v>
                </c:pt>
                <c:pt idx="5">
                  <c:v>52.610030706243606</c:v>
                </c:pt>
                <c:pt idx="6">
                  <c:v>62.290927521540802</c:v>
                </c:pt>
                <c:pt idx="7">
                  <c:v>71.452328159645234</c:v>
                </c:pt>
                <c:pt idx="8">
                  <c:v>73.707753479125245</c:v>
                </c:pt>
                <c:pt idx="9">
                  <c:v>38.504037399065027</c:v>
                </c:pt>
                <c:pt idx="10">
                  <c:v>26.023778071334213</c:v>
                </c:pt>
                <c:pt idx="11">
                  <c:v>73.80952380952381</c:v>
                </c:pt>
                <c:pt idx="12">
                  <c:v>52.41128298453139</c:v>
                </c:pt>
                <c:pt idx="13">
                  <c:v>35.041666666666664</c:v>
                </c:pt>
                <c:pt idx="14">
                  <c:v>48.479868529170091</c:v>
                </c:pt>
                <c:pt idx="15">
                  <c:v>30.726256983240223</c:v>
                </c:pt>
                <c:pt idx="16">
                  <c:v>49.526066350710899</c:v>
                </c:pt>
                <c:pt idx="17">
                  <c:v>34.267413931144915</c:v>
                </c:pt>
                <c:pt idx="18">
                  <c:v>48.776223776223773</c:v>
                </c:pt>
                <c:pt idx="19">
                  <c:v>36.920222634508349</c:v>
                </c:pt>
                <c:pt idx="20">
                  <c:v>26.006528835690968</c:v>
                </c:pt>
                <c:pt idx="21">
                  <c:v>47.85954785954786</c:v>
                </c:pt>
                <c:pt idx="22">
                  <c:v>33.182844243792324</c:v>
                </c:pt>
                <c:pt idx="23">
                  <c:v>38.321342925659472</c:v>
                </c:pt>
                <c:pt idx="24">
                  <c:v>32.349052446011456</c:v>
                </c:pt>
                <c:pt idx="25">
                  <c:v>38.541666666666664</c:v>
                </c:pt>
                <c:pt idx="26">
                  <c:v>54.414682539682538</c:v>
                </c:pt>
                <c:pt idx="27">
                  <c:v>44.678111587982833</c:v>
                </c:pt>
                <c:pt idx="28">
                  <c:v>48.960216998191683</c:v>
                </c:pt>
                <c:pt idx="29">
                  <c:v>36.23435722411832</c:v>
                </c:pt>
                <c:pt idx="30">
                  <c:v>41.570026761819804</c:v>
                </c:pt>
                <c:pt idx="31">
                  <c:v>30.401785714285715</c:v>
                </c:pt>
                <c:pt idx="32">
                  <c:v>40.432098765432102</c:v>
                </c:pt>
                <c:pt idx="33">
                  <c:v>95.27145359019265</c:v>
                </c:pt>
                <c:pt idx="34">
                  <c:v>43.419689119170982</c:v>
                </c:pt>
                <c:pt idx="35">
                  <c:v>61.180952380952384</c:v>
                </c:pt>
                <c:pt idx="36">
                  <c:v>82.278481012658233</c:v>
                </c:pt>
                <c:pt idx="37">
                  <c:v>37.891440501043839</c:v>
                </c:pt>
                <c:pt idx="38">
                  <c:v>40.373395565927652</c:v>
                </c:pt>
                <c:pt idx="39">
                  <c:v>40.014164305949009</c:v>
                </c:pt>
                <c:pt idx="40">
                  <c:v>35.019646365422396</c:v>
                </c:pt>
                <c:pt idx="41">
                  <c:v>32.91592128801431</c:v>
                </c:pt>
                <c:pt idx="42">
                  <c:v>34.583952451708768</c:v>
                </c:pt>
                <c:pt idx="43">
                  <c:v>34.065460809646858</c:v>
                </c:pt>
                <c:pt idx="44">
                  <c:v>66.542133665421332</c:v>
                </c:pt>
                <c:pt idx="45">
                  <c:v>82.972136222910223</c:v>
                </c:pt>
                <c:pt idx="46">
                  <c:v>64.759725400457668</c:v>
                </c:pt>
                <c:pt idx="47">
                  <c:v>40.809968847352025</c:v>
                </c:pt>
                <c:pt idx="48">
                  <c:v>45.801033591731269</c:v>
                </c:pt>
                <c:pt idx="49">
                  <c:v>54.984354045596781</c:v>
                </c:pt>
                <c:pt idx="50">
                  <c:v>40.988835725677831</c:v>
                </c:pt>
                <c:pt idx="51">
                  <c:v>37.672465506898618</c:v>
                </c:pt>
                <c:pt idx="52">
                  <c:v>42.771804062126641</c:v>
                </c:pt>
                <c:pt idx="53">
                  <c:v>78.285714285714292</c:v>
                </c:pt>
                <c:pt idx="54">
                  <c:v>35.802469135802468</c:v>
                </c:pt>
                <c:pt idx="55">
                  <c:v>34.591626630061768</c:v>
                </c:pt>
                <c:pt idx="56">
                  <c:v>43.99198931909212</c:v>
                </c:pt>
                <c:pt idx="57">
                  <c:v>35.998498498498499</c:v>
                </c:pt>
                <c:pt idx="58">
                  <c:v>28.264758497316638</c:v>
                </c:pt>
                <c:pt idx="59">
                  <c:v>41.413753361505954</c:v>
                </c:pt>
                <c:pt idx="60">
                  <c:v>38.279830405814657</c:v>
                </c:pt>
                <c:pt idx="61">
                  <c:v>44.122298365840798</c:v>
                </c:pt>
                <c:pt idx="62">
                  <c:v>28.415841584158414</c:v>
                </c:pt>
                <c:pt idx="63">
                  <c:v>28.213166144200628</c:v>
                </c:pt>
                <c:pt idx="64">
                  <c:v>31.632653061224488</c:v>
                </c:pt>
                <c:pt idx="65">
                  <c:v>57.634902411021812</c:v>
                </c:pt>
                <c:pt idx="66">
                  <c:v>65.963431786216603</c:v>
                </c:pt>
                <c:pt idx="67">
                  <c:v>59.171597633136095</c:v>
                </c:pt>
                <c:pt idx="68">
                  <c:v>46.972972972972975</c:v>
                </c:pt>
                <c:pt idx="69">
                  <c:v>52.910330361824855</c:v>
                </c:pt>
                <c:pt idx="70">
                  <c:v>36.995153473344104</c:v>
                </c:pt>
                <c:pt idx="71">
                  <c:v>41.978609625668447</c:v>
                </c:pt>
                <c:pt idx="72">
                  <c:v>40.463576158940398</c:v>
                </c:pt>
                <c:pt idx="73">
                  <c:v>22.40990990990991</c:v>
                </c:pt>
                <c:pt idx="74">
                  <c:v>35.343511450381676</c:v>
                </c:pt>
                <c:pt idx="75">
                  <c:v>51.278195488721806</c:v>
                </c:pt>
                <c:pt idx="76">
                  <c:v>55.201177625122668</c:v>
                </c:pt>
                <c:pt idx="77">
                  <c:v>57.815126050420169</c:v>
                </c:pt>
                <c:pt idx="78">
                  <c:v>51.873767258382642</c:v>
                </c:pt>
                <c:pt idx="79">
                  <c:v>42.535211267605632</c:v>
                </c:pt>
                <c:pt idx="80">
                  <c:v>51.540983606557376</c:v>
                </c:pt>
                <c:pt idx="81">
                  <c:v>40.625</c:v>
                </c:pt>
                <c:pt idx="82">
                  <c:v>47.904811174340402</c:v>
                </c:pt>
                <c:pt idx="83">
                  <c:v>44.525904203323556</c:v>
                </c:pt>
                <c:pt idx="84">
                  <c:v>40.621336459554513</c:v>
                </c:pt>
                <c:pt idx="85">
                  <c:v>40.938416422287389</c:v>
                </c:pt>
                <c:pt idx="86">
                  <c:v>46.500981033355131</c:v>
                </c:pt>
                <c:pt idx="87">
                  <c:v>35.444444444444443</c:v>
                </c:pt>
                <c:pt idx="88">
                  <c:v>38.161993769470406</c:v>
                </c:pt>
                <c:pt idx="89">
                  <c:v>43.880142204164549</c:v>
                </c:pt>
                <c:pt idx="90">
                  <c:v>49.60753532182104</c:v>
                </c:pt>
                <c:pt idx="91">
                  <c:v>51.973284760170003</c:v>
                </c:pt>
                <c:pt idx="92">
                  <c:v>56.155015197568389</c:v>
                </c:pt>
                <c:pt idx="93">
                  <c:v>63.973344439816742</c:v>
                </c:pt>
                <c:pt idx="94">
                  <c:v>66.090611863615138</c:v>
                </c:pt>
                <c:pt idx="95">
                  <c:v>65.528455284552848</c:v>
                </c:pt>
                <c:pt idx="96">
                  <c:v>59.78142076502732</c:v>
                </c:pt>
                <c:pt idx="97">
                  <c:v>47.716799329702553</c:v>
                </c:pt>
                <c:pt idx="98">
                  <c:v>53.094462540716613</c:v>
                </c:pt>
                <c:pt idx="99">
                  <c:v>31.606805293005671</c:v>
                </c:pt>
                <c:pt idx="100">
                  <c:v>36.172295643661279</c:v>
                </c:pt>
                <c:pt idx="101">
                  <c:v>57.703081232492998</c:v>
                </c:pt>
                <c:pt idx="102">
                  <c:v>57.186234817813762</c:v>
                </c:pt>
                <c:pt idx="103">
                  <c:v>100</c:v>
                </c:pt>
                <c:pt idx="104">
                  <c:v>90.865384615384613</c:v>
                </c:pt>
                <c:pt idx="105">
                  <c:v>45.725760183591511</c:v>
                </c:pt>
                <c:pt idx="106">
                  <c:v>38.141592920353979</c:v>
                </c:pt>
                <c:pt idx="107">
                  <c:v>35.991379310344826</c:v>
                </c:pt>
                <c:pt idx="108">
                  <c:v>40.813135261923378</c:v>
                </c:pt>
                <c:pt idx="109">
                  <c:v>37.786561264822133</c:v>
                </c:pt>
                <c:pt idx="110">
                  <c:v>42.659279778393355</c:v>
                </c:pt>
                <c:pt idx="111">
                  <c:v>39.198131568703779</c:v>
                </c:pt>
                <c:pt idx="112">
                  <c:v>39.279869067103107</c:v>
                </c:pt>
                <c:pt idx="113">
                  <c:v>42.108890420399725</c:v>
                </c:pt>
                <c:pt idx="114">
                  <c:v>37.489609310058185</c:v>
                </c:pt>
                <c:pt idx="115">
                  <c:v>35.413899955732624</c:v>
                </c:pt>
                <c:pt idx="116">
                  <c:v>48.197955890263586</c:v>
                </c:pt>
                <c:pt idx="117">
                  <c:v>36.372360844529751</c:v>
                </c:pt>
                <c:pt idx="118">
                  <c:v>0</c:v>
                </c:pt>
                <c:pt idx="119">
                  <c:v>41.97530864197531</c:v>
                </c:pt>
                <c:pt idx="120">
                  <c:v>32.253711201079625</c:v>
                </c:pt>
                <c:pt idx="121">
                  <c:v>51.320918146383718</c:v>
                </c:pt>
                <c:pt idx="122">
                  <c:v>33.550325488232346</c:v>
                </c:pt>
                <c:pt idx="123">
                  <c:v>35.837864557587743</c:v>
                </c:pt>
                <c:pt idx="124">
                  <c:v>43.203883495145632</c:v>
                </c:pt>
                <c:pt idx="125">
                  <c:v>40.560640732265448</c:v>
                </c:pt>
                <c:pt idx="126">
                  <c:v>36.066288704753596</c:v>
                </c:pt>
                <c:pt idx="127">
                  <c:v>34.057301293900181</c:v>
                </c:pt>
                <c:pt idx="128">
                  <c:v>36.285858077503775</c:v>
                </c:pt>
                <c:pt idx="129">
                  <c:v>42.036753445635526</c:v>
                </c:pt>
                <c:pt idx="130">
                  <c:v>70.199587061252586</c:v>
                </c:pt>
                <c:pt idx="131">
                  <c:v>31.971465629053178</c:v>
                </c:pt>
                <c:pt idx="132">
                  <c:v>35.394021739130437</c:v>
                </c:pt>
                <c:pt idx="133">
                  <c:v>35.140700068634182</c:v>
                </c:pt>
                <c:pt idx="134">
                  <c:v>29.351351351351351</c:v>
                </c:pt>
                <c:pt idx="135">
                  <c:v>42.471590909090907</c:v>
                </c:pt>
                <c:pt idx="136">
                  <c:v>55.265700483091784</c:v>
                </c:pt>
                <c:pt idx="137">
                  <c:v>51.10526315789474</c:v>
                </c:pt>
                <c:pt idx="138">
                  <c:v>36.855895196506552</c:v>
                </c:pt>
                <c:pt idx="139">
                  <c:v>34.820209376422397</c:v>
                </c:pt>
                <c:pt idx="140">
                  <c:v>69.944444444444443</c:v>
                </c:pt>
                <c:pt idx="141">
                  <c:v>33.010156971375807</c:v>
                </c:pt>
                <c:pt idx="142">
                  <c:v>40.26290165530672</c:v>
                </c:pt>
                <c:pt idx="143">
                  <c:v>38.359412043622569</c:v>
                </c:pt>
                <c:pt idx="144">
                  <c:v>30.732484076433121</c:v>
                </c:pt>
                <c:pt idx="145">
                  <c:v>37.028301886792455</c:v>
                </c:pt>
                <c:pt idx="146">
                  <c:v>35.288367546432063</c:v>
                </c:pt>
                <c:pt idx="147">
                  <c:v>34.275248560962844</c:v>
                </c:pt>
                <c:pt idx="148">
                  <c:v>38.125802310654684</c:v>
                </c:pt>
                <c:pt idx="149">
                  <c:v>40.745732255166217</c:v>
                </c:pt>
                <c:pt idx="150">
                  <c:v>27.971233913701742</c:v>
                </c:pt>
                <c:pt idx="151">
                  <c:v>28.618602091359385</c:v>
                </c:pt>
                <c:pt idx="152">
                  <c:v>32.336255801959773</c:v>
                </c:pt>
                <c:pt idx="153">
                  <c:v>24.444444444444443</c:v>
                </c:pt>
                <c:pt idx="154">
                  <c:v>28.796498905908095</c:v>
                </c:pt>
                <c:pt idx="155">
                  <c:v>28.420227361818895</c:v>
                </c:pt>
                <c:pt idx="156">
                  <c:v>33.021390374331553</c:v>
                </c:pt>
                <c:pt idx="157">
                  <c:v>53.324468085106382</c:v>
                </c:pt>
                <c:pt idx="158">
                  <c:v>48.549810844892811</c:v>
                </c:pt>
                <c:pt idx="159">
                  <c:v>32.177931831311383</c:v>
                </c:pt>
                <c:pt idx="160">
                  <c:v>44.659300184162063</c:v>
                </c:pt>
                <c:pt idx="161">
                  <c:v>28.372555518727211</c:v>
                </c:pt>
                <c:pt idx="162">
                  <c:v>26.083707025411062</c:v>
                </c:pt>
                <c:pt idx="163">
                  <c:v>27.099236641221374</c:v>
                </c:pt>
                <c:pt idx="164">
                  <c:v>29.520795660036168</c:v>
                </c:pt>
                <c:pt idx="165">
                  <c:v>26.91194708557255</c:v>
                </c:pt>
                <c:pt idx="166">
                  <c:v>22.96983758700696</c:v>
                </c:pt>
                <c:pt idx="167">
                  <c:v>23.950826621449767</c:v>
                </c:pt>
                <c:pt idx="168">
                  <c:v>26.504394861392832</c:v>
                </c:pt>
                <c:pt idx="169">
                  <c:v>22.563417890520693</c:v>
                </c:pt>
                <c:pt idx="170">
                  <c:v>22.906496432594817</c:v>
                </c:pt>
                <c:pt idx="171">
                  <c:v>42.521534847298355</c:v>
                </c:pt>
                <c:pt idx="172">
                  <c:v>34.256694367497694</c:v>
                </c:pt>
                <c:pt idx="173">
                  <c:v>31.412337662337663</c:v>
                </c:pt>
                <c:pt idx="174">
                  <c:v>37.596899224806201</c:v>
                </c:pt>
                <c:pt idx="175">
                  <c:v>35.335276967930028</c:v>
                </c:pt>
                <c:pt idx="176">
                  <c:v>49.561146869514339</c:v>
                </c:pt>
                <c:pt idx="177">
                  <c:v>64.645637034002462</c:v>
                </c:pt>
                <c:pt idx="178">
                  <c:v>31.949058693244741</c:v>
                </c:pt>
                <c:pt idx="179">
                  <c:v>42.149390243902438</c:v>
                </c:pt>
                <c:pt idx="180">
                  <c:v>43.365500603136311</c:v>
                </c:pt>
                <c:pt idx="181">
                  <c:v>26.360225140712945</c:v>
                </c:pt>
              </c:numCache>
            </c:numRef>
          </c:xVal>
          <c:yVal>
            <c:numRef>
              <c:f>'Дума партии'!$AV$2:$AV$184</c:f>
              <c:numCache>
                <c:formatCode>0.0</c:formatCode>
                <c:ptCount val="182"/>
                <c:pt idx="0">
                  <c:v>0.12406947890818859</c:v>
                </c:pt>
                <c:pt idx="1">
                  <c:v>0.10298661174047374</c:v>
                </c:pt>
                <c:pt idx="2">
                  <c:v>0</c:v>
                </c:pt>
                <c:pt idx="3">
                  <c:v>0.16708437761069339</c:v>
                </c:pt>
                <c:pt idx="4">
                  <c:v>0.21598272138228941</c:v>
                </c:pt>
                <c:pt idx="5">
                  <c:v>0.19588638589618021</c:v>
                </c:pt>
                <c:pt idx="6">
                  <c:v>0.18416206261510129</c:v>
                </c:pt>
                <c:pt idx="7">
                  <c:v>7.8186082877247848E-2</c:v>
                </c:pt>
                <c:pt idx="8">
                  <c:v>0.13486176668914363</c:v>
                </c:pt>
                <c:pt idx="9">
                  <c:v>0.11148272017837235</c:v>
                </c:pt>
                <c:pt idx="10">
                  <c:v>0.16920473773265651</c:v>
                </c:pt>
                <c:pt idx="11">
                  <c:v>0</c:v>
                </c:pt>
                <c:pt idx="12">
                  <c:v>0.69444444444444442</c:v>
                </c:pt>
                <c:pt idx="13">
                  <c:v>0.59453032104637338</c:v>
                </c:pt>
                <c:pt idx="14">
                  <c:v>0.16949152542372881</c:v>
                </c:pt>
                <c:pt idx="15">
                  <c:v>0.16528925619834711</c:v>
                </c:pt>
                <c:pt idx="16">
                  <c:v>0.9569377990430622</c:v>
                </c:pt>
                <c:pt idx="17">
                  <c:v>0</c:v>
                </c:pt>
                <c:pt idx="18">
                  <c:v>0</c:v>
                </c:pt>
                <c:pt idx="19">
                  <c:v>0</c:v>
                </c:pt>
                <c:pt idx="20">
                  <c:v>0</c:v>
                </c:pt>
                <c:pt idx="21">
                  <c:v>0</c:v>
                </c:pt>
                <c:pt idx="22">
                  <c:v>0.13623978201634879</c:v>
                </c:pt>
                <c:pt idx="23">
                  <c:v>0</c:v>
                </c:pt>
                <c:pt idx="24">
                  <c:v>0</c:v>
                </c:pt>
                <c:pt idx="25">
                  <c:v>0.36855036855036855</c:v>
                </c:pt>
                <c:pt idx="26">
                  <c:v>0</c:v>
                </c:pt>
                <c:pt idx="27">
                  <c:v>9.7181729834791064E-2</c:v>
                </c:pt>
                <c:pt idx="28">
                  <c:v>9.2421441774491686E-2</c:v>
                </c:pt>
                <c:pt idx="29">
                  <c:v>0.15698587127158556</c:v>
                </c:pt>
                <c:pt idx="30">
                  <c:v>0.21459227467811159</c:v>
                </c:pt>
                <c:pt idx="31">
                  <c:v>0.29368575624082233</c:v>
                </c:pt>
                <c:pt idx="32">
                  <c:v>0.19083969465648856</c:v>
                </c:pt>
                <c:pt idx="33">
                  <c:v>0.36832412523020258</c:v>
                </c:pt>
                <c:pt idx="34">
                  <c:v>0.2386634844868735</c:v>
                </c:pt>
                <c:pt idx="35">
                  <c:v>0</c:v>
                </c:pt>
                <c:pt idx="36">
                  <c:v>1.0256410256410255</c:v>
                </c:pt>
                <c:pt idx="37">
                  <c:v>0</c:v>
                </c:pt>
                <c:pt idx="38">
                  <c:v>0</c:v>
                </c:pt>
                <c:pt idx="39">
                  <c:v>0</c:v>
                </c:pt>
                <c:pt idx="40">
                  <c:v>0.28612303290414881</c:v>
                </c:pt>
                <c:pt idx="41">
                  <c:v>0</c:v>
                </c:pt>
                <c:pt idx="42">
                  <c:v>0.21482277121374865</c:v>
                </c:pt>
                <c:pt idx="43">
                  <c:v>0.12642225031605561</c:v>
                </c:pt>
                <c:pt idx="44">
                  <c:v>0.18726591760299627</c:v>
                </c:pt>
                <c:pt idx="45">
                  <c:v>0</c:v>
                </c:pt>
                <c:pt idx="46">
                  <c:v>0.35335689045936397</c:v>
                </c:pt>
                <c:pt idx="47">
                  <c:v>0.15267175572519084</c:v>
                </c:pt>
                <c:pt idx="48">
                  <c:v>0.14104372355430184</c:v>
                </c:pt>
                <c:pt idx="49">
                  <c:v>8.2304526748971193E-2</c:v>
                </c:pt>
                <c:pt idx="50">
                  <c:v>0</c:v>
                </c:pt>
                <c:pt idx="51">
                  <c:v>0.15923566878980891</c:v>
                </c:pt>
                <c:pt idx="52">
                  <c:v>0</c:v>
                </c:pt>
                <c:pt idx="53">
                  <c:v>0</c:v>
                </c:pt>
                <c:pt idx="54">
                  <c:v>0</c:v>
                </c:pt>
                <c:pt idx="55">
                  <c:v>0</c:v>
                </c:pt>
                <c:pt idx="56">
                  <c:v>0.15174506828528073</c:v>
                </c:pt>
                <c:pt idx="57">
                  <c:v>0.31282586027111575</c:v>
                </c:pt>
                <c:pt idx="58">
                  <c:v>0.25316455696202533</c:v>
                </c:pt>
                <c:pt idx="59">
                  <c:v>0.18552875695732837</c:v>
                </c:pt>
                <c:pt idx="60">
                  <c:v>0.15822784810126583</c:v>
                </c:pt>
                <c:pt idx="61">
                  <c:v>0</c:v>
                </c:pt>
                <c:pt idx="62">
                  <c:v>0</c:v>
                </c:pt>
                <c:pt idx="63">
                  <c:v>0</c:v>
                </c:pt>
                <c:pt idx="64">
                  <c:v>0.43010752688172044</c:v>
                </c:pt>
                <c:pt idx="65">
                  <c:v>0.19920318725099601</c:v>
                </c:pt>
                <c:pt idx="66">
                  <c:v>0</c:v>
                </c:pt>
                <c:pt idx="67">
                  <c:v>0</c:v>
                </c:pt>
                <c:pt idx="68">
                  <c:v>0.11547344110854503</c:v>
                </c:pt>
                <c:pt idx="69">
                  <c:v>0</c:v>
                </c:pt>
                <c:pt idx="70">
                  <c:v>0.2183406113537118</c:v>
                </c:pt>
                <c:pt idx="71">
                  <c:v>0.21276595744680851</c:v>
                </c:pt>
                <c:pt idx="72">
                  <c:v>0.49833887043189368</c:v>
                </c:pt>
                <c:pt idx="73">
                  <c:v>0.25125628140703515</c:v>
                </c:pt>
                <c:pt idx="74">
                  <c:v>0</c:v>
                </c:pt>
                <c:pt idx="75">
                  <c:v>0</c:v>
                </c:pt>
                <c:pt idx="76">
                  <c:v>0.17793594306049823</c:v>
                </c:pt>
                <c:pt idx="77">
                  <c:v>0.32051282051282054</c:v>
                </c:pt>
                <c:pt idx="78">
                  <c:v>0.12690355329949238</c:v>
                </c:pt>
                <c:pt idx="79">
                  <c:v>0</c:v>
                </c:pt>
                <c:pt idx="80">
                  <c:v>0.2544529262086514</c:v>
                </c:pt>
                <c:pt idx="81">
                  <c:v>0.33444816053511706</c:v>
                </c:pt>
                <c:pt idx="82">
                  <c:v>0.32573289902280128</c:v>
                </c:pt>
                <c:pt idx="83">
                  <c:v>0.32930845225027444</c:v>
                </c:pt>
                <c:pt idx="84">
                  <c:v>1.1544011544011543</c:v>
                </c:pt>
                <c:pt idx="85">
                  <c:v>0</c:v>
                </c:pt>
                <c:pt idx="86">
                  <c:v>0.14064697609001406</c:v>
                </c:pt>
                <c:pt idx="87">
                  <c:v>0.15673981191222572</c:v>
                </c:pt>
                <c:pt idx="88">
                  <c:v>0.4366812227074236</c:v>
                </c:pt>
                <c:pt idx="89">
                  <c:v>0.11574074074074074</c:v>
                </c:pt>
                <c:pt idx="90">
                  <c:v>0.10548523206751055</c:v>
                </c:pt>
                <c:pt idx="91">
                  <c:v>0.46728971962616822</c:v>
                </c:pt>
                <c:pt idx="92">
                  <c:v>0.40595399188092018</c:v>
                </c:pt>
                <c:pt idx="93">
                  <c:v>0</c:v>
                </c:pt>
                <c:pt idx="94">
                  <c:v>0.35385704175513094</c:v>
                </c:pt>
                <c:pt idx="95">
                  <c:v>0</c:v>
                </c:pt>
                <c:pt idx="96">
                  <c:v>0</c:v>
                </c:pt>
                <c:pt idx="97">
                  <c:v>0</c:v>
                </c:pt>
                <c:pt idx="98">
                  <c:v>0</c:v>
                </c:pt>
                <c:pt idx="99">
                  <c:v>0.11961722488038277</c:v>
                </c:pt>
                <c:pt idx="100">
                  <c:v>0</c:v>
                </c:pt>
                <c:pt idx="101">
                  <c:v>8.1967213114754092E-2</c:v>
                </c:pt>
                <c:pt idx="102">
                  <c:v>0</c:v>
                </c:pt>
                <c:pt idx="103">
                  <c:v>0.34482758620689657</c:v>
                </c:pt>
                <c:pt idx="104">
                  <c:v>2.150537634408602</c:v>
                </c:pt>
                <c:pt idx="105">
                  <c:v>0</c:v>
                </c:pt>
                <c:pt idx="106">
                  <c:v>0</c:v>
                </c:pt>
                <c:pt idx="107">
                  <c:v>0.11976047904191617</c:v>
                </c:pt>
                <c:pt idx="108">
                  <c:v>0</c:v>
                </c:pt>
                <c:pt idx="109">
                  <c:v>0.62761506276150625</c:v>
                </c:pt>
                <c:pt idx="110">
                  <c:v>0</c:v>
                </c:pt>
                <c:pt idx="111">
                  <c:v>0</c:v>
                </c:pt>
                <c:pt idx="112">
                  <c:v>0.20833333333333334</c:v>
                </c:pt>
                <c:pt idx="113">
                  <c:v>1.6366612111292962</c:v>
                </c:pt>
                <c:pt idx="114">
                  <c:v>0.44543429844097998</c:v>
                </c:pt>
                <c:pt idx="115">
                  <c:v>0</c:v>
                </c:pt>
                <c:pt idx="116">
                  <c:v>0</c:v>
                </c:pt>
                <c:pt idx="117">
                  <c:v>0.26385224274406333</c:v>
                </c:pt>
                <c:pt idx="118">
                  <c:v>0</c:v>
                </c:pt>
                <c:pt idx="119">
                  <c:v>9.8135426889106966E-2</c:v>
                </c:pt>
                <c:pt idx="120">
                  <c:v>0.1394700139470014</c:v>
                </c:pt>
                <c:pt idx="121">
                  <c:v>8.4388185654008435E-2</c:v>
                </c:pt>
                <c:pt idx="122">
                  <c:v>0</c:v>
                </c:pt>
                <c:pt idx="123">
                  <c:v>0.27777777777777779</c:v>
                </c:pt>
                <c:pt idx="124">
                  <c:v>0</c:v>
                </c:pt>
                <c:pt idx="125">
                  <c:v>0</c:v>
                </c:pt>
                <c:pt idx="126">
                  <c:v>0.36275695284159615</c:v>
                </c:pt>
                <c:pt idx="127">
                  <c:v>0</c:v>
                </c:pt>
                <c:pt idx="128">
                  <c:v>0</c:v>
                </c:pt>
                <c:pt idx="129">
                  <c:v>0</c:v>
                </c:pt>
                <c:pt idx="130">
                  <c:v>0.23419203747072601</c:v>
                </c:pt>
                <c:pt idx="131">
                  <c:v>0.20283975659229209</c:v>
                </c:pt>
                <c:pt idx="132">
                  <c:v>0.38387715930902111</c:v>
                </c:pt>
                <c:pt idx="133">
                  <c:v>0</c:v>
                </c:pt>
                <c:pt idx="134">
                  <c:v>0</c:v>
                </c:pt>
                <c:pt idx="135">
                  <c:v>0.11148272017837235</c:v>
                </c:pt>
                <c:pt idx="136">
                  <c:v>0.17482517482517482</c:v>
                </c:pt>
                <c:pt idx="137">
                  <c:v>0.41237113402061853</c:v>
                </c:pt>
                <c:pt idx="138">
                  <c:v>0.12437810945273632</c:v>
                </c:pt>
                <c:pt idx="139">
                  <c:v>0.39215686274509803</c:v>
                </c:pt>
                <c:pt idx="140">
                  <c:v>7.9428117553613981E-2</c:v>
                </c:pt>
                <c:pt idx="141">
                  <c:v>0.13986013986013987</c:v>
                </c:pt>
                <c:pt idx="142">
                  <c:v>0</c:v>
                </c:pt>
                <c:pt idx="143">
                  <c:v>0.26041666666666669</c:v>
                </c:pt>
                <c:pt idx="144">
                  <c:v>0</c:v>
                </c:pt>
                <c:pt idx="145">
                  <c:v>0.21321961620469082</c:v>
                </c:pt>
                <c:pt idx="146">
                  <c:v>0</c:v>
                </c:pt>
                <c:pt idx="147">
                  <c:v>0.30534351145038169</c:v>
                </c:pt>
                <c:pt idx="148">
                  <c:v>0.22573363431151242</c:v>
                </c:pt>
                <c:pt idx="149">
                  <c:v>0</c:v>
                </c:pt>
                <c:pt idx="150">
                  <c:v>0.54127198917456021</c:v>
                </c:pt>
                <c:pt idx="151">
                  <c:v>0</c:v>
                </c:pt>
                <c:pt idx="152">
                  <c:v>0.4784688995215311</c:v>
                </c:pt>
                <c:pt idx="153">
                  <c:v>0.59288537549407117</c:v>
                </c:pt>
                <c:pt idx="154">
                  <c:v>0.45592705167173253</c:v>
                </c:pt>
                <c:pt idx="155">
                  <c:v>0.41379310344827586</c:v>
                </c:pt>
                <c:pt idx="156">
                  <c:v>0.10121457489878542</c:v>
                </c:pt>
                <c:pt idx="157">
                  <c:v>0.49875311720698257</c:v>
                </c:pt>
                <c:pt idx="158">
                  <c:v>0</c:v>
                </c:pt>
                <c:pt idx="159">
                  <c:v>0</c:v>
                </c:pt>
                <c:pt idx="160">
                  <c:v>0</c:v>
                </c:pt>
                <c:pt idx="161">
                  <c:v>0.35087719298245612</c:v>
                </c:pt>
                <c:pt idx="162">
                  <c:v>0.42979942693409739</c:v>
                </c:pt>
                <c:pt idx="163">
                  <c:v>0</c:v>
                </c:pt>
                <c:pt idx="164">
                  <c:v>0.15313935681470137</c:v>
                </c:pt>
                <c:pt idx="165">
                  <c:v>0.15360983102918588</c:v>
                </c:pt>
                <c:pt idx="166">
                  <c:v>0.20283975659229209</c:v>
                </c:pt>
                <c:pt idx="167">
                  <c:v>0.17793594306049823</c:v>
                </c:pt>
                <c:pt idx="168">
                  <c:v>0.12755102040816327</c:v>
                </c:pt>
                <c:pt idx="169">
                  <c:v>0</c:v>
                </c:pt>
                <c:pt idx="170">
                  <c:v>0.32786885245901637</c:v>
                </c:pt>
                <c:pt idx="171">
                  <c:v>0.36832412523020258</c:v>
                </c:pt>
                <c:pt idx="172">
                  <c:v>0.26954177897574122</c:v>
                </c:pt>
                <c:pt idx="173">
                  <c:v>0.51679586563307489</c:v>
                </c:pt>
                <c:pt idx="174">
                  <c:v>0.77319587628865982</c:v>
                </c:pt>
                <c:pt idx="175">
                  <c:v>0.16501650165016502</c:v>
                </c:pt>
                <c:pt idx="176">
                  <c:v>0.11862396204033215</c:v>
                </c:pt>
                <c:pt idx="177">
                  <c:v>6.3371356147021551E-2</c:v>
                </c:pt>
                <c:pt idx="178">
                  <c:v>0.34662045060658581</c:v>
                </c:pt>
                <c:pt idx="179">
                  <c:v>0.18083182640144665</c:v>
                </c:pt>
                <c:pt idx="180">
                  <c:v>0.13908205841446453</c:v>
                </c:pt>
                <c:pt idx="181">
                  <c:v>0</c:v>
                </c:pt>
              </c:numCache>
            </c:numRef>
          </c:yVal>
          <c:bubbleSize>
            <c:numRef>
              <c:f>'Дума партии'!$J$2:$J$184</c:f>
              <c:numCache>
                <c:formatCode>General</c:formatCode>
                <c:ptCount val="182"/>
                <c:pt idx="0">
                  <c:v>2451</c:v>
                </c:pt>
                <c:pt idx="1">
                  <c:v>1779</c:v>
                </c:pt>
                <c:pt idx="2">
                  <c:v>1942</c:v>
                </c:pt>
                <c:pt idx="3">
                  <c:v>2110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422</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2240</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1292</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290</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2226</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3017</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A-36CE-4AFB-9313-7A7B86C5B0D3}"/>
            </c:ext>
          </c:extLst>
        </c:ser>
        <c:ser>
          <c:idx val="7"/>
          <c:order val="11"/>
          <c:tx>
            <c:strRef>
              <c:f>'Дума партии'!$AX$1</c:f>
              <c:strCache>
                <c:ptCount val="1"/>
                <c:pt idx="0">
                  <c:v>Зеленая альт.</c:v>
                </c:pt>
              </c:strCache>
            </c:strRef>
          </c:tx>
          <c:spPr>
            <a:solidFill>
              <a:srgbClr val="99CC00">
                <a:alpha val="49804"/>
              </a:srgbClr>
            </a:solidFill>
            <a:ln w="25400">
              <a:noFill/>
            </a:ln>
            <a:effectLst/>
          </c:spPr>
          <c:invertIfNegative val="0"/>
          <c:xVal>
            <c:numRef>
              <c:f>'Дума партии'!$O$2:$O$184</c:f>
              <c:numCache>
                <c:formatCode>0.0</c:formatCode>
                <c:ptCount val="182"/>
                <c:pt idx="0">
                  <c:v>65.769073847409217</c:v>
                </c:pt>
                <c:pt idx="1">
                  <c:v>54.693648116919618</c:v>
                </c:pt>
                <c:pt idx="2">
                  <c:v>56.333676622039135</c:v>
                </c:pt>
                <c:pt idx="3">
                  <c:v>56.919431279620852</c:v>
                </c:pt>
                <c:pt idx="4">
                  <c:v>49.812130971551262</c:v>
                </c:pt>
                <c:pt idx="5">
                  <c:v>52.610030706243606</c:v>
                </c:pt>
                <c:pt idx="6">
                  <c:v>62.290927521540802</c:v>
                </c:pt>
                <c:pt idx="7">
                  <c:v>71.452328159645234</c:v>
                </c:pt>
                <c:pt idx="8">
                  <c:v>73.707753479125245</c:v>
                </c:pt>
                <c:pt idx="9">
                  <c:v>38.504037399065027</c:v>
                </c:pt>
                <c:pt idx="10">
                  <c:v>26.023778071334213</c:v>
                </c:pt>
                <c:pt idx="11">
                  <c:v>73.80952380952381</c:v>
                </c:pt>
                <c:pt idx="12">
                  <c:v>52.41128298453139</c:v>
                </c:pt>
                <c:pt idx="13">
                  <c:v>35.041666666666664</c:v>
                </c:pt>
                <c:pt idx="14">
                  <c:v>48.479868529170091</c:v>
                </c:pt>
                <c:pt idx="15">
                  <c:v>30.726256983240223</c:v>
                </c:pt>
                <c:pt idx="16">
                  <c:v>49.526066350710899</c:v>
                </c:pt>
                <c:pt idx="17">
                  <c:v>34.267413931144915</c:v>
                </c:pt>
                <c:pt idx="18">
                  <c:v>48.776223776223773</c:v>
                </c:pt>
                <c:pt idx="19">
                  <c:v>36.920222634508349</c:v>
                </c:pt>
                <c:pt idx="20">
                  <c:v>26.006528835690968</c:v>
                </c:pt>
                <c:pt idx="21">
                  <c:v>47.85954785954786</c:v>
                </c:pt>
                <c:pt idx="22">
                  <c:v>33.182844243792324</c:v>
                </c:pt>
                <c:pt idx="23">
                  <c:v>38.321342925659472</c:v>
                </c:pt>
                <c:pt idx="24">
                  <c:v>32.349052446011456</c:v>
                </c:pt>
                <c:pt idx="25">
                  <c:v>38.541666666666664</c:v>
                </c:pt>
                <c:pt idx="26">
                  <c:v>54.414682539682538</c:v>
                </c:pt>
                <c:pt idx="27">
                  <c:v>44.678111587982833</c:v>
                </c:pt>
                <c:pt idx="28">
                  <c:v>48.960216998191683</c:v>
                </c:pt>
                <c:pt idx="29">
                  <c:v>36.23435722411832</c:v>
                </c:pt>
                <c:pt idx="30">
                  <c:v>41.570026761819804</c:v>
                </c:pt>
                <c:pt idx="31">
                  <c:v>30.401785714285715</c:v>
                </c:pt>
                <c:pt idx="32">
                  <c:v>40.432098765432102</c:v>
                </c:pt>
                <c:pt idx="33">
                  <c:v>95.27145359019265</c:v>
                </c:pt>
                <c:pt idx="34">
                  <c:v>43.419689119170982</c:v>
                </c:pt>
                <c:pt idx="35">
                  <c:v>61.180952380952384</c:v>
                </c:pt>
                <c:pt idx="36">
                  <c:v>82.278481012658233</c:v>
                </c:pt>
                <c:pt idx="37">
                  <c:v>37.891440501043839</c:v>
                </c:pt>
                <c:pt idx="38">
                  <c:v>40.373395565927652</c:v>
                </c:pt>
                <c:pt idx="39">
                  <c:v>40.014164305949009</c:v>
                </c:pt>
                <c:pt idx="40">
                  <c:v>35.019646365422396</c:v>
                </c:pt>
                <c:pt idx="41">
                  <c:v>32.91592128801431</c:v>
                </c:pt>
                <c:pt idx="42">
                  <c:v>34.583952451708768</c:v>
                </c:pt>
                <c:pt idx="43">
                  <c:v>34.065460809646858</c:v>
                </c:pt>
                <c:pt idx="44">
                  <c:v>66.542133665421332</c:v>
                </c:pt>
                <c:pt idx="45">
                  <c:v>82.972136222910223</c:v>
                </c:pt>
                <c:pt idx="46">
                  <c:v>64.759725400457668</c:v>
                </c:pt>
                <c:pt idx="47">
                  <c:v>40.809968847352025</c:v>
                </c:pt>
                <c:pt idx="48">
                  <c:v>45.801033591731269</c:v>
                </c:pt>
                <c:pt idx="49">
                  <c:v>54.984354045596781</c:v>
                </c:pt>
                <c:pt idx="50">
                  <c:v>40.988835725677831</c:v>
                </c:pt>
                <c:pt idx="51">
                  <c:v>37.672465506898618</c:v>
                </c:pt>
                <c:pt idx="52">
                  <c:v>42.771804062126641</c:v>
                </c:pt>
                <c:pt idx="53">
                  <c:v>78.285714285714292</c:v>
                </c:pt>
                <c:pt idx="54">
                  <c:v>35.802469135802468</c:v>
                </c:pt>
                <c:pt idx="55">
                  <c:v>34.591626630061768</c:v>
                </c:pt>
                <c:pt idx="56">
                  <c:v>43.99198931909212</c:v>
                </c:pt>
                <c:pt idx="57">
                  <c:v>35.998498498498499</c:v>
                </c:pt>
                <c:pt idx="58">
                  <c:v>28.264758497316638</c:v>
                </c:pt>
                <c:pt idx="59">
                  <c:v>41.413753361505954</c:v>
                </c:pt>
                <c:pt idx="60">
                  <c:v>38.279830405814657</c:v>
                </c:pt>
                <c:pt idx="61">
                  <c:v>44.122298365840798</c:v>
                </c:pt>
                <c:pt idx="62">
                  <c:v>28.415841584158414</c:v>
                </c:pt>
                <c:pt idx="63">
                  <c:v>28.213166144200628</c:v>
                </c:pt>
                <c:pt idx="64">
                  <c:v>31.632653061224488</c:v>
                </c:pt>
                <c:pt idx="65">
                  <c:v>57.634902411021812</c:v>
                </c:pt>
                <c:pt idx="66">
                  <c:v>65.963431786216603</c:v>
                </c:pt>
                <c:pt idx="67">
                  <c:v>59.171597633136095</c:v>
                </c:pt>
                <c:pt idx="68">
                  <c:v>46.972972972972975</c:v>
                </c:pt>
                <c:pt idx="69">
                  <c:v>52.910330361824855</c:v>
                </c:pt>
                <c:pt idx="70">
                  <c:v>36.995153473344104</c:v>
                </c:pt>
                <c:pt idx="71">
                  <c:v>41.978609625668447</c:v>
                </c:pt>
                <c:pt idx="72">
                  <c:v>40.463576158940398</c:v>
                </c:pt>
                <c:pt idx="73">
                  <c:v>22.40990990990991</c:v>
                </c:pt>
                <c:pt idx="74">
                  <c:v>35.343511450381676</c:v>
                </c:pt>
                <c:pt idx="75">
                  <c:v>51.278195488721806</c:v>
                </c:pt>
                <c:pt idx="76">
                  <c:v>55.201177625122668</c:v>
                </c:pt>
                <c:pt idx="77">
                  <c:v>57.815126050420169</c:v>
                </c:pt>
                <c:pt idx="78">
                  <c:v>51.873767258382642</c:v>
                </c:pt>
                <c:pt idx="79">
                  <c:v>42.535211267605632</c:v>
                </c:pt>
                <c:pt idx="80">
                  <c:v>51.540983606557376</c:v>
                </c:pt>
                <c:pt idx="81">
                  <c:v>40.625</c:v>
                </c:pt>
                <c:pt idx="82">
                  <c:v>47.904811174340402</c:v>
                </c:pt>
                <c:pt idx="83">
                  <c:v>44.525904203323556</c:v>
                </c:pt>
                <c:pt idx="84">
                  <c:v>40.621336459554513</c:v>
                </c:pt>
                <c:pt idx="85">
                  <c:v>40.938416422287389</c:v>
                </c:pt>
                <c:pt idx="86">
                  <c:v>46.500981033355131</c:v>
                </c:pt>
                <c:pt idx="87">
                  <c:v>35.444444444444443</c:v>
                </c:pt>
                <c:pt idx="88">
                  <c:v>38.161993769470406</c:v>
                </c:pt>
                <c:pt idx="89">
                  <c:v>43.880142204164549</c:v>
                </c:pt>
                <c:pt idx="90">
                  <c:v>49.60753532182104</c:v>
                </c:pt>
                <c:pt idx="91">
                  <c:v>51.973284760170003</c:v>
                </c:pt>
                <c:pt idx="92">
                  <c:v>56.155015197568389</c:v>
                </c:pt>
                <c:pt idx="93">
                  <c:v>63.973344439816742</c:v>
                </c:pt>
                <c:pt idx="94">
                  <c:v>66.090611863615138</c:v>
                </c:pt>
                <c:pt idx="95">
                  <c:v>65.528455284552848</c:v>
                </c:pt>
                <c:pt idx="96">
                  <c:v>59.78142076502732</c:v>
                </c:pt>
                <c:pt idx="97">
                  <c:v>47.716799329702553</c:v>
                </c:pt>
                <c:pt idx="98">
                  <c:v>53.094462540716613</c:v>
                </c:pt>
                <c:pt idx="99">
                  <c:v>31.606805293005671</c:v>
                </c:pt>
                <c:pt idx="100">
                  <c:v>36.172295643661279</c:v>
                </c:pt>
                <c:pt idx="101">
                  <c:v>57.703081232492998</c:v>
                </c:pt>
                <c:pt idx="102">
                  <c:v>57.186234817813762</c:v>
                </c:pt>
                <c:pt idx="103">
                  <c:v>100</c:v>
                </c:pt>
                <c:pt idx="104">
                  <c:v>90.865384615384613</c:v>
                </c:pt>
                <c:pt idx="105">
                  <c:v>45.725760183591511</c:v>
                </c:pt>
                <c:pt idx="106">
                  <c:v>38.141592920353979</c:v>
                </c:pt>
                <c:pt idx="107">
                  <c:v>35.991379310344826</c:v>
                </c:pt>
                <c:pt idx="108">
                  <c:v>40.813135261923378</c:v>
                </c:pt>
                <c:pt idx="109">
                  <c:v>37.786561264822133</c:v>
                </c:pt>
                <c:pt idx="110">
                  <c:v>42.659279778393355</c:v>
                </c:pt>
                <c:pt idx="111">
                  <c:v>39.198131568703779</c:v>
                </c:pt>
                <c:pt idx="112">
                  <c:v>39.279869067103107</c:v>
                </c:pt>
                <c:pt idx="113">
                  <c:v>42.108890420399725</c:v>
                </c:pt>
                <c:pt idx="114">
                  <c:v>37.489609310058185</c:v>
                </c:pt>
                <c:pt idx="115">
                  <c:v>35.413899955732624</c:v>
                </c:pt>
                <c:pt idx="116">
                  <c:v>48.197955890263586</c:v>
                </c:pt>
                <c:pt idx="117">
                  <c:v>36.372360844529751</c:v>
                </c:pt>
                <c:pt idx="118">
                  <c:v>0</c:v>
                </c:pt>
                <c:pt idx="119">
                  <c:v>41.97530864197531</c:v>
                </c:pt>
                <c:pt idx="120">
                  <c:v>32.253711201079625</c:v>
                </c:pt>
                <c:pt idx="121">
                  <c:v>51.320918146383718</c:v>
                </c:pt>
                <c:pt idx="122">
                  <c:v>33.550325488232346</c:v>
                </c:pt>
                <c:pt idx="123">
                  <c:v>35.837864557587743</c:v>
                </c:pt>
                <c:pt idx="124">
                  <c:v>43.203883495145632</c:v>
                </c:pt>
                <c:pt idx="125">
                  <c:v>40.560640732265448</c:v>
                </c:pt>
                <c:pt idx="126">
                  <c:v>36.066288704753596</c:v>
                </c:pt>
                <c:pt idx="127">
                  <c:v>34.057301293900181</c:v>
                </c:pt>
                <c:pt idx="128">
                  <c:v>36.285858077503775</c:v>
                </c:pt>
                <c:pt idx="129">
                  <c:v>42.036753445635526</c:v>
                </c:pt>
                <c:pt idx="130">
                  <c:v>70.199587061252586</c:v>
                </c:pt>
                <c:pt idx="131">
                  <c:v>31.971465629053178</c:v>
                </c:pt>
                <c:pt idx="132">
                  <c:v>35.394021739130437</c:v>
                </c:pt>
                <c:pt idx="133">
                  <c:v>35.140700068634182</c:v>
                </c:pt>
                <c:pt idx="134">
                  <c:v>29.351351351351351</c:v>
                </c:pt>
                <c:pt idx="135">
                  <c:v>42.471590909090907</c:v>
                </c:pt>
                <c:pt idx="136">
                  <c:v>55.265700483091784</c:v>
                </c:pt>
                <c:pt idx="137">
                  <c:v>51.10526315789474</c:v>
                </c:pt>
                <c:pt idx="138">
                  <c:v>36.855895196506552</c:v>
                </c:pt>
                <c:pt idx="139">
                  <c:v>34.820209376422397</c:v>
                </c:pt>
                <c:pt idx="140">
                  <c:v>69.944444444444443</c:v>
                </c:pt>
                <c:pt idx="141">
                  <c:v>33.010156971375807</c:v>
                </c:pt>
                <c:pt idx="142">
                  <c:v>40.26290165530672</c:v>
                </c:pt>
                <c:pt idx="143">
                  <c:v>38.359412043622569</c:v>
                </c:pt>
                <c:pt idx="144">
                  <c:v>30.732484076433121</c:v>
                </c:pt>
                <c:pt idx="145">
                  <c:v>37.028301886792455</c:v>
                </c:pt>
                <c:pt idx="146">
                  <c:v>35.288367546432063</c:v>
                </c:pt>
                <c:pt idx="147">
                  <c:v>34.275248560962844</c:v>
                </c:pt>
                <c:pt idx="148">
                  <c:v>38.125802310654684</c:v>
                </c:pt>
                <c:pt idx="149">
                  <c:v>40.745732255166217</c:v>
                </c:pt>
                <c:pt idx="150">
                  <c:v>27.971233913701742</c:v>
                </c:pt>
                <c:pt idx="151">
                  <c:v>28.618602091359385</c:v>
                </c:pt>
                <c:pt idx="152">
                  <c:v>32.336255801959773</c:v>
                </c:pt>
                <c:pt idx="153">
                  <c:v>24.444444444444443</c:v>
                </c:pt>
                <c:pt idx="154">
                  <c:v>28.796498905908095</c:v>
                </c:pt>
                <c:pt idx="155">
                  <c:v>28.420227361818895</c:v>
                </c:pt>
                <c:pt idx="156">
                  <c:v>33.021390374331553</c:v>
                </c:pt>
                <c:pt idx="157">
                  <c:v>53.324468085106382</c:v>
                </c:pt>
                <c:pt idx="158">
                  <c:v>48.549810844892811</c:v>
                </c:pt>
                <c:pt idx="159">
                  <c:v>32.177931831311383</c:v>
                </c:pt>
                <c:pt idx="160">
                  <c:v>44.659300184162063</c:v>
                </c:pt>
                <c:pt idx="161">
                  <c:v>28.372555518727211</c:v>
                </c:pt>
                <c:pt idx="162">
                  <c:v>26.083707025411062</c:v>
                </c:pt>
                <c:pt idx="163">
                  <c:v>27.099236641221374</c:v>
                </c:pt>
                <c:pt idx="164">
                  <c:v>29.520795660036168</c:v>
                </c:pt>
                <c:pt idx="165">
                  <c:v>26.91194708557255</c:v>
                </c:pt>
                <c:pt idx="166">
                  <c:v>22.96983758700696</c:v>
                </c:pt>
                <c:pt idx="167">
                  <c:v>23.950826621449767</c:v>
                </c:pt>
                <c:pt idx="168">
                  <c:v>26.504394861392832</c:v>
                </c:pt>
                <c:pt idx="169">
                  <c:v>22.563417890520693</c:v>
                </c:pt>
                <c:pt idx="170">
                  <c:v>22.906496432594817</c:v>
                </c:pt>
                <c:pt idx="171">
                  <c:v>42.521534847298355</c:v>
                </c:pt>
                <c:pt idx="172">
                  <c:v>34.256694367497694</c:v>
                </c:pt>
                <c:pt idx="173">
                  <c:v>31.412337662337663</c:v>
                </c:pt>
                <c:pt idx="174">
                  <c:v>37.596899224806201</c:v>
                </c:pt>
                <c:pt idx="175">
                  <c:v>35.335276967930028</c:v>
                </c:pt>
                <c:pt idx="176">
                  <c:v>49.561146869514339</c:v>
                </c:pt>
                <c:pt idx="177">
                  <c:v>64.645637034002462</c:v>
                </c:pt>
                <c:pt idx="178">
                  <c:v>31.949058693244741</c:v>
                </c:pt>
                <c:pt idx="179">
                  <c:v>42.149390243902438</c:v>
                </c:pt>
                <c:pt idx="180">
                  <c:v>43.365500603136311</c:v>
                </c:pt>
                <c:pt idx="181">
                  <c:v>26.360225140712945</c:v>
                </c:pt>
              </c:numCache>
            </c:numRef>
          </c:xVal>
          <c:yVal>
            <c:numRef>
              <c:f>'Дума партии'!$AX$2:$AX$184</c:f>
              <c:numCache>
                <c:formatCode>0.0</c:formatCode>
                <c:ptCount val="182"/>
                <c:pt idx="0">
                  <c:v>1.3027295285359801</c:v>
                </c:pt>
                <c:pt idx="1">
                  <c:v>0.92687950566426369</c:v>
                </c:pt>
                <c:pt idx="2">
                  <c:v>0.64043915827996345</c:v>
                </c:pt>
                <c:pt idx="3">
                  <c:v>0.33416875522138678</c:v>
                </c:pt>
                <c:pt idx="4">
                  <c:v>1.079913606911447</c:v>
                </c:pt>
                <c:pt idx="5">
                  <c:v>1.1753183153770812</c:v>
                </c:pt>
                <c:pt idx="6">
                  <c:v>2.0257826887661143</c:v>
                </c:pt>
                <c:pt idx="7">
                  <c:v>0.93823299452697417</c:v>
                </c:pt>
                <c:pt idx="8">
                  <c:v>0.87660148347943356</c:v>
                </c:pt>
                <c:pt idx="9">
                  <c:v>1.2263099219620959</c:v>
                </c:pt>
                <c:pt idx="10">
                  <c:v>1.5228426395939085</c:v>
                </c:pt>
                <c:pt idx="11">
                  <c:v>0.15360983102918588</c:v>
                </c:pt>
                <c:pt idx="12">
                  <c:v>1.0416666666666667</c:v>
                </c:pt>
                <c:pt idx="13">
                  <c:v>0.95124851367419738</c:v>
                </c:pt>
                <c:pt idx="14">
                  <c:v>0.50847457627118642</c:v>
                </c:pt>
                <c:pt idx="15">
                  <c:v>0.99173553719008267</c:v>
                </c:pt>
                <c:pt idx="16">
                  <c:v>1.4354066985645932</c:v>
                </c:pt>
                <c:pt idx="17">
                  <c:v>2.1327014218009479</c:v>
                </c:pt>
                <c:pt idx="18">
                  <c:v>0.83632019115890088</c:v>
                </c:pt>
                <c:pt idx="19">
                  <c:v>1.0080645161290323</c:v>
                </c:pt>
                <c:pt idx="20">
                  <c:v>0.83682008368200833</c:v>
                </c:pt>
                <c:pt idx="21">
                  <c:v>0.8040201005025126</c:v>
                </c:pt>
                <c:pt idx="22">
                  <c:v>1.4986376021798364</c:v>
                </c:pt>
                <c:pt idx="23">
                  <c:v>1.0012515644555695</c:v>
                </c:pt>
                <c:pt idx="24">
                  <c:v>1.5047879616963065</c:v>
                </c:pt>
                <c:pt idx="25">
                  <c:v>0.85995085995085996</c:v>
                </c:pt>
                <c:pt idx="26">
                  <c:v>1.1850501367365542</c:v>
                </c:pt>
                <c:pt idx="27">
                  <c:v>0.58309037900874638</c:v>
                </c:pt>
                <c:pt idx="28">
                  <c:v>0.83179297597042512</c:v>
                </c:pt>
                <c:pt idx="29">
                  <c:v>1.4128728414442699</c:v>
                </c:pt>
                <c:pt idx="30">
                  <c:v>1.0729613733905579</c:v>
                </c:pt>
                <c:pt idx="31">
                  <c:v>0.44052863436123346</c:v>
                </c:pt>
                <c:pt idx="32">
                  <c:v>0.95419847328244278</c:v>
                </c:pt>
                <c:pt idx="33">
                  <c:v>0.92081031307550643</c:v>
                </c:pt>
                <c:pt idx="34">
                  <c:v>0.47732696897374699</c:v>
                </c:pt>
                <c:pt idx="35">
                  <c:v>0.87173100871731013</c:v>
                </c:pt>
                <c:pt idx="36">
                  <c:v>2.3443223443223444</c:v>
                </c:pt>
                <c:pt idx="37">
                  <c:v>1.3774104683195592</c:v>
                </c:pt>
                <c:pt idx="38">
                  <c:v>1.7341040462427746</c:v>
                </c:pt>
                <c:pt idx="39">
                  <c:v>0.35398230088495575</c:v>
                </c:pt>
                <c:pt idx="40">
                  <c:v>1.1444921316165952</c:v>
                </c:pt>
                <c:pt idx="41">
                  <c:v>0</c:v>
                </c:pt>
                <c:pt idx="42">
                  <c:v>1.1815252416756177</c:v>
                </c:pt>
                <c:pt idx="43">
                  <c:v>1.1378002528445006</c:v>
                </c:pt>
                <c:pt idx="44">
                  <c:v>0.49937578027465668</c:v>
                </c:pt>
                <c:pt idx="45">
                  <c:v>0.37418147801683815</c:v>
                </c:pt>
                <c:pt idx="46">
                  <c:v>0.70671378091872794</c:v>
                </c:pt>
                <c:pt idx="47">
                  <c:v>1.5267175572519085</c:v>
                </c:pt>
                <c:pt idx="48">
                  <c:v>0.84626234132581102</c:v>
                </c:pt>
                <c:pt idx="49">
                  <c:v>1.2345679012345678</c:v>
                </c:pt>
                <c:pt idx="50">
                  <c:v>0.90791180285343709</c:v>
                </c:pt>
                <c:pt idx="51">
                  <c:v>0.63694267515923564</c:v>
                </c:pt>
                <c:pt idx="52">
                  <c:v>0.97765363128491622</c:v>
                </c:pt>
                <c:pt idx="53">
                  <c:v>0</c:v>
                </c:pt>
                <c:pt idx="54">
                  <c:v>0.78369905956112851</c:v>
                </c:pt>
                <c:pt idx="55">
                  <c:v>0.99206349206349209</c:v>
                </c:pt>
                <c:pt idx="56">
                  <c:v>1.6691957511380879</c:v>
                </c:pt>
                <c:pt idx="57">
                  <c:v>2.2940563086548487</c:v>
                </c:pt>
                <c:pt idx="58">
                  <c:v>0.759493670886076</c:v>
                </c:pt>
                <c:pt idx="59">
                  <c:v>0.92764378478664189</c:v>
                </c:pt>
                <c:pt idx="60">
                  <c:v>1.5822784810126582</c:v>
                </c:pt>
                <c:pt idx="61">
                  <c:v>0.95579450418160095</c:v>
                </c:pt>
                <c:pt idx="62">
                  <c:v>1.3937282229965158</c:v>
                </c:pt>
                <c:pt idx="63">
                  <c:v>0.55555555555555558</c:v>
                </c:pt>
                <c:pt idx="64">
                  <c:v>1.075268817204301</c:v>
                </c:pt>
                <c:pt idx="65">
                  <c:v>0.73041168658698541</c:v>
                </c:pt>
                <c:pt idx="66">
                  <c:v>1.279317697228145</c:v>
                </c:pt>
                <c:pt idx="67">
                  <c:v>0.75</c:v>
                </c:pt>
                <c:pt idx="68">
                  <c:v>0.57736720554272514</c:v>
                </c:pt>
                <c:pt idx="69">
                  <c:v>1.288404360753221</c:v>
                </c:pt>
                <c:pt idx="70">
                  <c:v>1.0917030567685591</c:v>
                </c:pt>
                <c:pt idx="71">
                  <c:v>0.63829787234042556</c:v>
                </c:pt>
                <c:pt idx="72">
                  <c:v>0.99667774086378735</c:v>
                </c:pt>
                <c:pt idx="73">
                  <c:v>0.50251256281407031</c:v>
                </c:pt>
                <c:pt idx="74">
                  <c:v>1.079913606911447</c:v>
                </c:pt>
                <c:pt idx="75">
                  <c:v>0.2932551319648094</c:v>
                </c:pt>
                <c:pt idx="76">
                  <c:v>0.80071174377224197</c:v>
                </c:pt>
                <c:pt idx="77">
                  <c:v>0.64102564102564108</c:v>
                </c:pt>
                <c:pt idx="78">
                  <c:v>1.2690355329949239</c:v>
                </c:pt>
                <c:pt idx="79">
                  <c:v>1.3245033112582782</c:v>
                </c:pt>
                <c:pt idx="80">
                  <c:v>0.76335877862595425</c:v>
                </c:pt>
                <c:pt idx="81">
                  <c:v>0.33444816053511706</c:v>
                </c:pt>
                <c:pt idx="82">
                  <c:v>2.7144408251900107</c:v>
                </c:pt>
                <c:pt idx="83">
                  <c:v>0.98792535675082327</c:v>
                </c:pt>
                <c:pt idx="84">
                  <c:v>1.1544011544011543</c:v>
                </c:pt>
                <c:pt idx="85">
                  <c:v>1.1461318051575931</c:v>
                </c:pt>
                <c:pt idx="86">
                  <c:v>1.6877637130801688</c:v>
                </c:pt>
                <c:pt idx="87">
                  <c:v>0.94043887147335425</c:v>
                </c:pt>
                <c:pt idx="88">
                  <c:v>1.1644832605531295</c:v>
                </c:pt>
                <c:pt idx="89">
                  <c:v>0.81018518518518523</c:v>
                </c:pt>
                <c:pt idx="90">
                  <c:v>0.4219409282700422</c:v>
                </c:pt>
                <c:pt idx="91">
                  <c:v>1.0514018691588785</c:v>
                </c:pt>
                <c:pt idx="92">
                  <c:v>0.67658998646820023</c:v>
                </c:pt>
                <c:pt idx="93">
                  <c:v>0.45572916666666669</c:v>
                </c:pt>
                <c:pt idx="94">
                  <c:v>1.2738853503184713</c:v>
                </c:pt>
                <c:pt idx="95">
                  <c:v>0.54421768707482998</c:v>
                </c:pt>
                <c:pt idx="96">
                  <c:v>0</c:v>
                </c:pt>
                <c:pt idx="97">
                  <c:v>0.79016681299385427</c:v>
                </c:pt>
                <c:pt idx="98">
                  <c:v>0.73619631901840488</c:v>
                </c:pt>
                <c:pt idx="99">
                  <c:v>1.1961722488038278</c:v>
                </c:pt>
                <c:pt idx="100">
                  <c:v>1.6238159675236807</c:v>
                </c:pt>
                <c:pt idx="101">
                  <c:v>1.0655737704918034</c:v>
                </c:pt>
                <c:pt idx="102">
                  <c:v>1.0619469026548674</c:v>
                </c:pt>
                <c:pt idx="103">
                  <c:v>0</c:v>
                </c:pt>
                <c:pt idx="104">
                  <c:v>1.075268817204301</c:v>
                </c:pt>
                <c:pt idx="105">
                  <c:v>1.0037641154328734</c:v>
                </c:pt>
                <c:pt idx="106">
                  <c:v>0.46403712296983757</c:v>
                </c:pt>
                <c:pt idx="107">
                  <c:v>1.0778443113772456</c:v>
                </c:pt>
                <c:pt idx="108">
                  <c:v>1.3592233009708738</c:v>
                </c:pt>
                <c:pt idx="109">
                  <c:v>1.8828451882845187</c:v>
                </c:pt>
                <c:pt idx="110">
                  <c:v>1.2113055181695829</c:v>
                </c:pt>
                <c:pt idx="111">
                  <c:v>0.82901554404145072</c:v>
                </c:pt>
                <c:pt idx="112">
                  <c:v>0.83333333333333337</c:v>
                </c:pt>
                <c:pt idx="113">
                  <c:v>0.49099836333878888</c:v>
                </c:pt>
                <c:pt idx="114">
                  <c:v>1.7817371937639199</c:v>
                </c:pt>
                <c:pt idx="115">
                  <c:v>0.87609511889862324</c:v>
                </c:pt>
                <c:pt idx="116">
                  <c:v>1.0101010101010102</c:v>
                </c:pt>
                <c:pt idx="117">
                  <c:v>1.9788918205804749</c:v>
                </c:pt>
                <c:pt idx="118">
                  <c:v>0</c:v>
                </c:pt>
                <c:pt idx="119">
                  <c:v>1.3738959764474976</c:v>
                </c:pt>
                <c:pt idx="120">
                  <c:v>1.2552301255230125</c:v>
                </c:pt>
                <c:pt idx="121">
                  <c:v>0.759493670886076</c:v>
                </c:pt>
                <c:pt idx="122">
                  <c:v>0.44776119402985076</c:v>
                </c:pt>
                <c:pt idx="123">
                  <c:v>1.8055555555555556</c:v>
                </c:pt>
                <c:pt idx="124">
                  <c:v>1.1083743842364533</c:v>
                </c:pt>
                <c:pt idx="125">
                  <c:v>0.56497175141242939</c:v>
                </c:pt>
                <c:pt idx="126">
                  <c:v>1.4510278113663846</c:v>
                </c:pt>
                <c:pt idx="127">
                  <c:v>0.40705563093622793</c:v>
                </c:pt>
                <c:pt idx="128">
                  <c:v>1.6643550624133148</c:v>
                </c:pt>
                <c:pt idx="129">
                  <c:v>1.2750455373406193</c:v>
                </c:pt>
                <c:pt idx="130">
                  <c:v>1.639344262295082</c:v>
                </c:pt>
                <c:pt idx="131">
                  <c:v>1.4198782961460445</c:v>
                </c:pt>
                <c:pt idx="132">
                  <c:v>1.9193857965451055</c:v>
                </c:pt>
                <c:pt idx="133">
                  <c:v>1.171875</c:v>
                </c:pt>
                <c:pt idx="134">
                  <c:v>1.8416206261510129</c:v>
                </c:pt>
                <c:pt idx="135">
                  <c:v>1.1148272017837235</c:v>
                </c:pt>
                <c:pt idx="136">
                  <c:v>1.5734265734265733</c:v>
                </c:pt>
                <c:pt idx="137">
                  <c:v>0.41237113402061853</c:v>
                </c:pt>
                <c:pt idx="138">
                  <c:v>0.74626865671641796</c:v>
                </c:pt>
                <c:pt idx="139">
                  <c:v>1.6993464052287581</c:v>
                </c:pt>
                <c:pt idx="140">
                  <c:v>1.6679904686258935</c:v>
                </c:pt>
                <c:pt idx="141">
                  <c:v>1.2587412587412588</c:v>
                </c:pt>
                <c:pt idx="142">
                  <c:v>0.99132589838909546</c:v>
                </c:pt>
                <c:pt idx="143">
                  <c:v>1.4322916666666667</c:v>
                </c:pt>
                <c:pt idx="144">
                  <c:v>0.51813471502590669</c:v>
                </c:pt>
                <c:pt idx="145">
                  <c:v>1.4925373134328359</c:v>
                </c:pt>
                <c:pt idx="146">
                  <c:v>0.554016620498615</c:v>
                </c:pt>
                <c:pt idx="147">
                  <c:v>1.9847328244274809</c:v>
                </c:pt>
                <c:pt idx="148">
                  <c:v>2.144469525959368</c:v>
                </c:pt>
                <c:pt idx="149">
                  <c:v>0.99557522123893805</c:v>
                </c:pt>
                <c:pt idx="150">
                  <c:v>0.67658998646820023</c:v>
                </c:pt>
                <c:pt idx="151">
                  <c:v>1.3461538461538463</c:v>
                </c:pt>
                <c:pt idx="152">
                  <c:v>2.073365231259968</c:v>
                </c:pt>
                <c:pt idx="153">
                  <c:v>1.5810276679841897</c:v>
                </c:pt>
                <c:pt idx="154">
                  <c:v>1.0638297872340425</c:v>
                </c:pt>
                <c:pt idx="155">
                  <c:v>0.41379310344827586</c:v>
                </c:pt>
                <c:pt idx="156">
                  <c:v>1.5182186234817814</c:v>
                </c:pt>
                <c:pt idx="157">
                  <c:v>0</c:v>
                </c:pt>
                <c:pt idx="158">
                  <c:v>1.5748031496062993</c:v>
                </c:pt>
                <c:pt idx="159">
                  <c:v>0.90909090909090906</c:v>
                </c:pt>
                <c:pt idx="160">
                  <c:v>0.20618556701030927</c:v>
                </c:pt>
                <c:pt idx="161">
                  <c:v>1.871345029239766</c:v>
                </c:pt>
                <c:pt idx="162">
                  <c:v>2.005730659025788</c:v>
                </c:pt>
                <c:pt idx="163">
                  <c:v>1.5649452269170578</c:v>
                </c:pt>
                <c:pt idx="164">
                  <c:v>1.3782542113323124</c:v>
                </c:pt>
                <c:pt idx="165">
                  <c:v>1.228878648233487</c:v>
                </c:pt>
                <c:pt idx="166">
                  <c:v>1.6227180527383367</c:v>
                </c:pt>
                <c:pt idx="167">
                  <c:v>1.4234875444839858</c:v>
                </c:pt>
                <c:pt idx="168">
                  <c:v>0.76530612244897955</c:v>
                </c:pt>
                <c:pt idx="169">
                  <c:v>1.2422360248447204</c:v>
                </c:pt>
                <c:pt idx="170">
                  <c:v>1.9672131147540983</c:v>
                </c:pt>
                <c:pt idx="171">
                  <c:v>1.1049723756906078</c:v>
                </c:pt>
                <c:pt idx="172">
                  <c:v>0.53908355795148244</c:v>
                </c:pt>
                <c:pt idx="173">
                  <c:v>1.2919896640826873</c:v>
                </c:pt>
                <c:pt idx="174">
                  <c:v>0.77319587628865982</c:v>
                </c:pt>
                <c:pt idx="175">
                  <c:v>0.99009900990099009</c:v>
                </c:pt>
                <c:pt idx="176">
                  <c:v>1.3048635824436536</c:v>
                </c:pt>
                <c:pt idx="177">
                  <c:v>0.82382762991128011</c:v>
                </c:pt>
                <c:pt idx="178">
                  <c:v>0.1733102253032929</c:v>
                </c:pt>
                <c:pt idx="179">
                  <c:v>0.72332730560578662</c:v>
                </c:pt>
                <c:pt idx="180">
                  <c:v>0.27816411682892905</c:v>
                </c:pt>
                <c:pt idx="181">
                  <c:v>1.4234875444839858</c:v>
                </c:pt>
              </c:numCache>
            </c:numRef>
          </c:yVal>
          <c:bubbleSize>
            <c:numRef>
              <c:f>'Дума партии'!$J$2:$J$184</c:f>
              <c:numCache>
                <c:formatCode>General</c:formatCode>
                <c:ptCount val="182"/>
                <c:pt idx="0">
                  <c:v>2451</c:v>
                </c:pt>
                <c:pt idx="1">
                  <c:v>1779</c:v>
                </c:pt>
                <c:pt idx="2">
                  <c:v>1942</c:v>
                </c:pt>
                <c:pt idx="3">
                  <c:v>2110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422</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2240</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1292</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290</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2226</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3017</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B-36CE-4AFB-9313-7A7B86C5B0D3}"/>
            </c:ext>
          </c:extLst>
        </c:ser>
        <c:ser>
          <c:idx val="2"/>
          <c:order val="12"/>
          <c:tx>
            <c:strRef>
              <c:f>'Дума партии'!$AZ$1</c:f>
              <c:strCache>
                <c:ptCount val="1"/>
                <c:pt idx="0">
                  <c:v>Родина</c:v>
                </c:pt>
              </c:strCache>
            </c:strRef>
          </c:tx>
          <c:spPr>
            <a:solidFill>
              <a:srgbClr val="9900FF">
                <a:alpha val="49804"/>
              </a:srgbClr>
            </a:solidFill>
            <a:ln w="25400">
              <a:noFill/>
            </a:ln>
          </c:spPr>
          <c:invertIfNegative val="0"/>
          <c:xVal>
            <c:numRef>
              <c:f>'Дума партии'!$O$2:$O$184</c:f>
              <c:numCache>
                <c:formatCode>0.0</c:formatCode>
                <c:ptCount val="182"/>
                <c:pt idx="0">
                  <c:v>65.769073847409217</c:v>
                </c:pt>
                <c:pt idx="1">
                  <c:v>54.693648116919618</c:v>
                </c:pt>
                <c:pt idx="2">
                  <c:v>56.333676622039135</c:v>
                </c:pt>
                <c:pt idx="3">
                  <c:v>56.919431279620852</c:v>
                </c:pt>
                <c:pt idx="4">
                  <c:v>49.812130971551262</c:v>
                </c:pt>
                <c:pt idx="5">
                  <c:v>52.610030706243606</c:v>
                </c:pt>
                <c:pt idx="6">
                  <c:v>62.290927521540802</c:v>
                </c:pt>
                <c:pt idx="7">
                  <c:v>71.452328159645234</c:v>
                </c:pt>
                <c:pt idx="8">
                  <c:v>73.707753479125245</c:v>
                </c:pt>
                <c:pt idx="9">
                  <c:v>38.504037399065027</c:v>
                </c:pt>
                <c:pt idx="10">
                  <c:v>26.023778071334213</c:v>
                </c:pt>
                <c:pt idx="11">
                  <c:v>73.80952380952381</c:v>
                </c:pt>
                <c:pt idx="12">
                  <c:v>52.41128298453139</c:v>
                </c:pt>
                <c:pt idx="13">
                  <c:v>35.041666666666664</c:v>
                </c:pt>
                <c:pt idx="14">
                  <c:v>48.479868529170091</c:v>
                </c:pt>
                <c:pt idx="15">
                  <c:v>30.726256983240223</c:v>
                </c:pt>
                <c:pt idx="16">
                  <c:v>49.526066350710899</c:v>
                </c:pt>
                <c:pt idx="17">
                  <c:v>34.267413931144915</c:v>
                </c:pt>
                <c:pt idx="18">
                  <c:v>48.776223776223773</c:v>
                </c:pt>
                <c:pt idx="19">
                  <c:v>36.920222634508349</c:v>
                </c:pt>
                <c:pt idx="20">
                  <c:v>26.006528835690968</c:v>
                </c:pt>
                <c:pt idx="21">
                  <c:v>47.85954785954786</c:v>
                </c:pt>
                <c:pt idx="22">
                  <c:v>33.182844243792324</c:v>
                </c:pt>
                <c:pt idx="23">
                  <c:v>38.321342925659472</c:v>
                </c:pt>
                <c:pt idx="24">
                  <c:v>32.349052446011456</c:v>
                </c:pt>
                <c:pt idx="25">
                  <c:v>38.541666666666664</c:v>
                </c:pt>
                <c:pt idx="26">
                  <c:v>54.414682539682538</c:v>
                </c:pt>
                <c:pt idx="27">
                  <c:v>44.678111587982833</c:v>
                </c:pt>
                <c:pt idx="28">
                  <c:v>48.960216998191683</c:v>
                </c:pt>
                <c:pt idx="29">
                  <c:v>36.23435722411832</c:v>
                </c:pt>
                <c:pt idx="30">
                  <c:v>41.570026761819804</c:v>
                </c:pt>
                <c:pt idx="31">
                  <c:v>30.401785714285715</c:v>
                </c:pt>
                <c:pt idx="32">
                  <c:v>40.432098765432102</c:v>
                </c:pt>
                <c:pt idx="33">
                  <c:v>95.27145359019265</c:v>
                </c:pt>
                <c:pt idx="34">
                  <c:v>43.419689119170982</c:v>
                </c:pt>
                <c:pt idx="35">
                  <c:v>61.180952380952384</c:v>
                </c:pt>
                <c:pt idx="36">
                  <c:v>82.278481012658233</c:v>
                </c:pt>
                <c:pt idx="37">
                  <c:v>37.891440501043839</c:v>
                </c:pt>
                <c:pt idx="38">
                  <c:v>40.373395565927652</c:v>
                </c:pt>
                <c:pt idx="39">
                  <c:v>40.014164305949009</c:v>
                </c:pt>
                <c:pt idx="40">
                  <c:v>35.019646365422396</c:v>
                </c:pt>
                <c:pt idx="41">
                  <c:v>32.91592128801431</c:v>
                </c:pt>
                <c:pt idx="42">
                  <c:v>34.583952451708768</c:v>
                </c:pt>
                <c:pt idx="43">
                  <c:v>34.065460809646858</c:v>
                </c:pt>
                <c:pt idx="44">
                  <c:v>66.542133665421332</c:v>
                </c:pt>
                <c:pt idx="45">
                  <c:v>82.972136222910223</c:v>
                </c:pt>
                <c:pt idx="46">
                  <c:v>64.759725400457668</c:v>
                </c:pt>
                <c:pt idx="47">
                  <c:v>40.809968847352025</c:v>
                </c:pt>
                <c:pt idx="48">
                  <c:v>45.801033591731269</c:v>
                </c:pt>
                <c:pt idx="49">
                  <c:v>54.984354045596781</c:v>
                </c:pt>
                <c:pt idx="50">
                  <c:v>40.988835725677831</c:v>
                </c:pt>
                <c:pt idx="51">
                  <c:v>37.672465506898618</c:v>
                </c:pt>
                <c:pt idx="52">
                  <c:v>42.771804062126641</c:v>
                </c:pt>
                <c:pt idx="53">
                  <c:v>78.285714285714292</c:v>
                </c:pt>
                <c:pt idx="54">
                  <c:v>35.802469135802468</c:v>
                </c:pt>
                <c:pt idx="55">
                  <c:v>34.591626630061768</c:v>
                </c:pt>
                <c:pt idx="56">
                  <c:v>43.99198931909212</c:v>
                </c:pt>
                <c:pt idx="57">
                  <c:v>35.998498498498499</c:v>
                </c:pt>
                <c:pt idx="58">
                  <c:v>28.264758497316638</c:v>
                </c:pt>
                <c:pt idx="59">
                  <c:v>41.413753361505954</c:v>
                </c:pt>
                <c:pt idx="60">
                  <c:v>38.279830405814657</c:v>
                </c:pt>
                <c:pt idx="61">
                  <c:v>44.122298365840798</c:v>
                </c:pt>
                <c:pt idx="62">
                  <c:v>28.415841584158414</c:v>
                </c:pt>
                <c:pt idx="63">
                  <c:v>28.213166144200628</c:v>
                </c:pt>
                <c:pt idx="64">
                  <c:v>31.632653061224488</c:v>
                </c:pt>
                <c:pt idx="65">
                  <c:v>57.634902411021812</c:v>
                </c:pt>
                <c:pt idx="66">
                  <c:v>65.963431786216603</c:v>
                </c:pt>
                <c:pt idx="67">
                  <c:v>59.171597633136095</c:v>
                </c:pt>
                <c:pt idx="68">
                  <c:v>46.972972972972975</c:v>
                </c:pt>
                <c:pt idx="69">
                  <c:v>52.910330361824855</c:v>
                </c:pt>
                <c:pt idx="70">
                  <c:v>36.995153473344104</c:v>
                </c:pt>
                <c:pt idx="71">
                  <c:v>41.978609625668447</c:v>
                </c:pt>
                <c:pt idx="72">
                  <c:v>40.463576158940398</c:v>
                </c:pt>
                <c:pt idx="73">
                  <c:v>22.40990990990991</c:v>
                </c:pt>
                <c:pt idx="74">
                  <c:v>35.343511450381676</c:v>
                </c:pt>
                <c:pt idx="75">
                  <c:v>51.278195488721806</c:v>
                </c:pt>
                <c:pt idx="76">
                  <c:v>55.201177625122668</c:v>
                </c:pt>
                <c:pt idx="77">
                  <c:v>57.815126050420169</c:v>
                </c:pt>
                <c:pt idx="78">
                  <c:v>51.873767258382642</c:v>
                </c:pt>
                <c:pt idx="79">
                  <c:v>42.535211267605632</c:v>
                </c:pt>
                <c:pt idx="80">
                  <c:v>51.540983606557376</c:v>
                </c:pt>
                <c:pt idx="81">
                  <c:v>40.625</c:v>
                </c:pt>
                <c:pt idx="82">
                  <c:v>47.904811174340402</c:v>
                </c:pt>
                <c:pt idx="83">
                  <c:v>44.525904203323556</c:v>
                </c:pt>
                <c:pt idx="84">
                  <c:v>40.621336459554513</c:v>
                </c:pt>
                <c:pt idx="85">
                  <c:v>40.938416422287389</c:v>
                </c:pt>
                <c:pt idx="86">
                  <c:v>46.500981033355131</c:v>
                </c:pt>
                <c:pt idx="87">
                  <c:v>35.444444444444443</c:v>
                </c:pt>
                <c:pt idx="88">
                  <c:v>38.161993769470406</c:v>
                </c:pt>
                <c:pt idx="89">
                  <c:v>43.880142204164549</c:v>
                </c:pt>
                <c:pt idx="90">
                  <c:v>49.60753532182104</c:v>
                </c:pt>
                <c:pt idx="91">
                  <c:v>51.973284760170003</c:v>
                </c:pt>
                <c:pt idx="92">
                  <c:v>56.155015197568389</c:v>
                </c:pt>
                <c:pt idx="93">
                  <c:v>63.973344439816742</c:v>
                </c:pt>
                <c:pt idx="94">
                  <c:v>66.090611863615138</c:v>
                </c:pt>
                <c:pt idx="95">
                  <c:v>65.528455284552848</c:v>
                </c:pt>
                <c:pt idx="96">
                  <c:v>59.78142076502732</c:v>
                </c:pt>
                <c:pt idx="97">
                  <c:v>47.716799329702553</c:v>
                </c:pt>
                <c:pt idx="98">
                  <c:v>53.094462540716613</c:v>
                </c:pt>
                <c:pt idx="99">
                  <c:v>31.606805293005671</c:v>
                </c:pt>
                <c:pt idx="100">
                  <c:v>36.172295643661279</c:v>
                </c:pt>
                <c:pt idx="101">
                  <c:v>57.703081232492998</c:v>
                </c:pt>
                <c:pt idx="102">
                  <c:v>57.186234817813762</c:v>
                </c:pt>
                <c:pt idx="103">
                  <c:v>100</c:v>
                </c:pt>
                <c:pt idx="104">
                  <c:v>90.865384615384613</c:v>
                </c:pt>
                <c:pt idx="105">
                  <c:v>45.725760183591511</c:v>
                </c:pt>
                <c:pt idx="106">
                  <c:v>38.141592920353979</c:v>
                </c:pt>
                <c:pt idx="107">
                  <c:v>35.991379310344826</c:v>
                </c:pt>
                <c:pt idx="108">
                  <c:v>40.813135261923378</c:v>
                </c:pt>
                <c:pt idx="109">
                  <c:v>37.786561264822133</c:v>
                </c:pt>
                <c:pt idx="110">
                  <c:v>42.659279778393355</c:v>
                </c:pt>
                <c:pt idx="111">
                  <c:v>39.198131568703779</c:v>
                </c:pt>
                <c:pt idx="112">
                  <c:v>39.279869067103107</c:v>
                </c:pt>
                <c:pt idx="113">
                  <c:v>42.108890420399725</c:v>
                </c:pt>
                <c:pt idx="114">
                  <c:v>37.489609310058185</c:v>
                </c:pt>
                <c:pt idx="115">
                  <c:v>35.413899955732624</c:v>
                </c:pt>
                <c:pt idx="116">
                  <c:v>48.197955890263586</c:v>
                </c:pt>
                <c:pt idx="117">
                  <c:v>36.372360844529751</c:v>
                </c:pt>
                <c:pt idx="118">
                  <c:v>0</c:v>
                </c:pt>
                <c:pt idx="119">
                  <c:v>41.97530864197531</c:v>
                </c:pt>
                <c:pt idx="120">
                  <c:v>32.253711201079625</c:v>
                </c:pt>
                <c:pt idx="121">
                  <c:v>51.320918146383718</c:v>
                </c:pt>
                <c:pt idx="122">
                  <c:v>33.550325488232346</c:v>
                </c:pt>
                <c:pt idx="123">
                  <c:v>35.837864557587743</c:v>
                </c:pt>
                <c:pt idx="124">
                  <c:v>43.203883495145632</c:v>
                </c:pt>
                <c:pt idx="125">
                  <c:v>40.560640732265448</c:v>
                </c:pt>
                <c:pt idx="126">
                  <c:v>36.066288704753596</c:v>
                </c:pt>
                <c:pt idx="127">
                  <c:v>34.057301293900181</c:v>
                </c:pt>
                <c:pt idx="128">
                  <c:v>36.285858077503775</c:v>
                </c:pt>
                <c:pt idx="129">
                  <c:v>42.036753445635526</c:v>
                </c:pt>
                <c:pt idx="130">
                  <c:v>70.199587061252586</c:v>
                </c:pt>
                <c:pt idx="131">
                  <c:v>31.971465629053178</c:v>
                </c:pt>
                <c:pt idx="132">
                  <c:v>35.394021739130437</c:v>
                </c:pt>
                <c:pt idx="133">
                  <c:v>35.140700068634182</c:v>
                </c:pt>
                <c:pt idx="134">
                  <c:v>29.351351351351351</c:v>
                </c:pt>
                <c:pt idx="135">
                  <c:v>42.471590909090907</c:v>
                </c:pt>
                <c:pt idx="136">
                  <c:v>55.265700483091784</c:v>
                </c:pt>
                <c:pt idx="137">
                  <c:v>51.10526315789474</c:v>
                </c:pt>
                <c:pt idx="138">
                  <c:v>36.855895196506552</c:v>
                </c:pt>
                <c:pt idx="139">
                  <c:v>34.820209376422397</c:v>
                </c:pt>
                <c:pt idx="140">
                  <c:v>69.944444444444443</c:v>
                </c:pt>
                <c:pt idx="141">
                  <c:v>33.010156971375807</c:v>
                </c:pt>
                <c:pt idx="142">
                  <c:v>40.26290165530672</c:v>
                </c:pt>
                <c:pt idx="143">
                  <c:v>38.359412043622569</c:v>
                </c:pt>
                <c:pt idx="144">
                  <c:v>30.732484076433121</c:v>
                </c:pt>
                <c:pt idx="145">
                  <c:v>37.028301886792455</c:v>
                </c:pt>
                <c:pt idx="146">
                  <c:v>35.288367546432063</c:v>
                </c:pt>
                <c:pt idx="147">
                  <c:v>34.275248560962844</c:v>
                </c:pt>
                <c:pt idx="148">
                  <c:v>38.125802310654684</c:v>
                </c:pt>
                <c:pt idx="149">
                  <c:v>40.745732255166217</c:v>
                </c:pt>
                <c:pt idx="150">
                  <c:v>27.971233913701742</c:v>
                </c:pt>
                <c:pt idx="151">
                  <c:v>28.618602091359385</c:v>
                </c:pt>
                <c:pt idx="152">
                  <c:v>32.336255801959773</c:v>
                </c:pt>
                <c:pt idx="153">
                  <c:v>24.444444444444443</c:v>
                </c:pt>
                <c:pt idx="154">
                  <c:v>28.796498905908095</c:v>
                </c:pt>
                <c:pt idx="155">
                  <c:v>28.420227361818895</c:v>
                </c:pt>
                <c:pt idx="156">
                  <c:v>33.021390374331553</c:v>
                </c:pt>
                <c:pt idx="157">
                  <c:v>53.324468085106382</c:v>
                </c:pt>
                <c:pt idx="158">
                  <c:v>48.549810844892811</c:v>
                </c:pt>
                <c:pt idx="159">
                  <c:v>32.177931831311383</c:v>
                </c:pt>
                <c:pt idx="160">
                  <c:v>44.659300184162063</c:v>
                </c:pt>
                <c:pt idx="161">
                  <c:v>28.372555518727211</c:v>
                </c:pt>
                <c:pt idx="162">
                  <c:v>26.083707025411062</c:v>
                </c:pt>
                <c:pt idx="163">
                  <c:v>27.099236641221374</c:v>
                </c:pt>
                <c:pt idx="164">
                  <c:v>29.520795660036168</c:v>
                </c:pt>
                <c:pt idx="165">
                  <c:v>26.91194708557255</c:v>
                </c:pt>
                <c:pt idx="166">
                  <c:v>22.96983758700696</c:v>
                </c:pt>
                <c:pt idx="167">
                  <c:v>23.950826621449767</c:v>
                </c:pt>
                <c:pt idx="168">
                  <c:v>26.504394861392832</c:v>
                </c:pt>
                <c:pt idx="169">
                  <c:v>22.563417890520693</c:v>
                </c:pt>
                <c:pt idx="170">
                  <c:v>22.906496432594817</c:v>
                </c:pt>
                <c:pt idx="171">
                  <c:v>42.521534847298355</c:v>
                </c:pt>
                <c:pt idx="172">
                  <c:v>34.256694367497694</c:v>
                </c:pt>
                <c:pt idx="173">
                  <c:v>31.412337662337663</c:v>
                </c:pt>
                <c:pt idx="174">
                  <c:v>37.596899224806201</c:v>
                </c:pt>
                <c:pt idx="175">
                  <c:v>35.335276967930028</c:v>
                </c:pt>
                <c:pt idx="176">
                  <c:v>49.561146869514339</c:v>
                </c:pt>
                <c:pt idx="177">
                  <c:v>64.645637034002462</c:v>
                </c:pt>
                <c:pt idx="178">
                  <c:v>31.949058693244741</c:v>
                </c:pt>
                <c:pt idx="179">
                  <c:v>42.149390243902438</c:v>
                </c:pt>
                <c:pt idx="180">
                  <c:v>43.365500603136311</c:v>
                </c:pt>
                <c:pt idx="181">
                  <c:v>26.360225140712945</c:v>
                </c:pt>
              </c:numCache>
            </c:numRef>
          </c:xVal>
          <c:yVal>
            <c:numRef>
              <c:f>'Дума партии'!$AZ$2:$AZ$184</c:f>
              <c:numCache>
                <c:formatCode>0.0</c:formatCode>
                <c:ptCount val="182"/>
                <c:pt idx="0">
                  <c:v>1.1166253101736974</c:v>
                </c:pt>
                <c:pt idx="1">
                  <c:v>1.0298661174047374</c:v>
                </c:pt>
                <c:pt idx="2">
                  <c:v>0.36596523330283626</c:v>
                </c:pt>
                <c:pt idx="3">
                  <c:v>1.0025062656641603</c:v>
                </c:pt>
                <c:pt idx="4">
                  <c:v>1.5118790496760259</c:v>
                </c:pt>
                <c:pt idx="5">
                  <c:v>1.2732615083251715</c:v>
                </c:pt>
                <c:pt idx="6">
                  <c:v>0.92081031307550643</c:v>
                </c:pt>
                <c:pt idx="7">
                  <c:v>1.2509773260359656</c:v>
                </c:pt>
                <c:pt idx="8">
                  <c:v>0.80917060013486175</c:v>
                </c:pt>
                <c:pt idx="9">
                  <c:v>2.0066889632107023</c:v>
                </c:pt>
                <c:pt idx="10">
                  <c:v>0.67681895093062605</c:v>
                </c:pt>
                <c:pt idx="11">
                  <c:v>0.15360983102918588</c:v>
                </c:pt>
                <c:pt idx="12">
                  <c:v>0.69444444444444442</c:v>
                </c:pt>
                <c:pt idx="13">
                  <c:v>0.83234244946492275</c:v>
                </c:pt>
                <c:pt idx="14">
                  <c:v>0.67796610169491522</c:v>
                </c:pt>
                <c:pt idx="15">
                  <c:v>0.82644628099173556</c:v>
                </c:pt>
                <c:pt idx="16">
                  <c:v>1.9138755980861244</c:v>
                </c:pt>
                <c:pt idx="17">
                  <c:v>2.1327014218009479</c:v>
                </c:pt>
                <c:pt idx="18">
                  <c:v>1.075268817204301</c:v>
                </c:pt>
                <c:pt idx="19">
                  <c:v>0.50403225806451613</c:v>
                </c:pt>
                <c:pt idx="20">
                  <c:v>0.62761506276150625</c:v>
                </c:pt>
                <c:pt idx="21">
                  <c:v>0.90452261306532666</c:v>
                </c:pt>
                <c:pt idx="22">
                  <c:v>1.3623978201634876</c:v>
                </c:pt>
                <c:pt idx="23">
                  <c:v>0.75093867334167708</c:v>
                </c:pt>
                <c:pt idx="24">
                  <c:v>0.82079343365253077</c:v>
                </c:pt>
                <c:pt idx="25">
                  <c:v>1.1056511056511056</c:v>
                </c:pt>
                <c:pt idx="26">
                  <c:v>1.3673655423883317</c:v>
                </c:pt>
                <c:pt idx="27">
                  <c:v>0.58309037900874638</c:v>
                </c:pt>
                <c:pt idx="28">
                  <c:v>1.0166358595194085</c:v>
                </c:pt>
                <c:pt idx="29">
                  <c:v>1.4128728414442699</c:v>
                </c:pt>
                <c:pt idx="30">
                  <c:v>0.42918454935622319</c:v>
                </c:pt>
                <c:pt idx="31">
                  <c:v>2.2026431718061672</c:v>
                </c:pt>
                <c:pt idx="32">
                  <c:v>2.0992366412213741</c:v>
                </c:pt>
                <c:pt idx="33">
                  <c:v>0.36832412523020258</c:v>
                </c:pt>
                <c:pt idx="34">
                  <c:v>0.71599045346062051</c:v>
                </c:pt>
                <c:pt idx="35">
                  <c:v>0.37359900373599003</c:v>
                </c:pt>
                <c:pt idx="36">
                  <c:v>1.2454212454212454</c:v>
                </c:pt>
                <c:pt idx="37">
                  <c:v>1.2396694214876034</c:v>
                </c:pt>
                <c:pt idx="38">
                  <c:v>0.5780346820809249</c:v>
                </c:pt>
                <c:pt idx="39">
                  <c:v>1.9469026548672566</c:v>
                </c:pt>
                <c:pt idx="40">
                  <c:v>1.4306151645207439</c:v>
                </c:pt>
                <c:pt idx="41">
                  <c:v>3.2608695652173911</c:v>
                </c:pt>
                <c:pt idx="42">
                  <c:v>2.255639097744361</c:v>
                </c:pt>
                <c:pt idx="43">
                  <c:v>1.390644753476612</c:v>
                </c:pt>
                <c:pt idx="44">
                  <c:v>0.87390761548064921</c:v>
                </c:pt>
                <c:pt idx="45">
                  <c:v>0.46772684752104771</c:v>
                </c:pt>
                <c:pt idx="46">
                  <c:v>1.7667844522968197</c:v>
                </c:pt>
                <c:pt idx="47">
                  <c:v>1.5267175572519085</c:v>
                </c:pt>
                <c:pt idx="48">
                  <c:v>1.692524682651622</c:v>
                </c:pt>
                <c:pt idx="49">
                  <c:v>1.2345679012345678</c:v>
                </c:pt>
                <c:pt idx="50">
                  <c:v>1.556420233463035</c:v>
                </c:pt>
                <c:pt idx="51">
                  <c:v>1.1146496815286624</c:v>
                </c:pt>
                <c:pt idx="52">
                  <c:v>2.0949720670391061</c:v>
                </c:pt>
                <c:pt idx="53">
                  <c:v>1.2165450121654502</c:v>
                </c:pt>
                <c:pt idx="54">
                  <c:v>1.0971786833855799</c:v>
                </c:pt>
                <c:pt idx="55">
                  <c:v>1.3888888888888888</c:v>
                </c:pt>
                <c:pt idx="56">
                  <c:v>1.5174506828528074</c:v>
                </c:pt>
                <c:pt idx="57">
                  <c:v>0.9384775808133472</c:v>
                </c:pt>
                <c:pt idx="58">
                  <c:v>0.88607594936708856</c:v>
                </c:pt>
                <c:pt idx="59">
                  <c:v>1.0204081632653061</c:v>
                </c:pt>
                <c:pt idx="60">
                  <c:v>0.79113924050632911</c:v>
                </c:pt>
                <c:pt idx="61">
                  <c:v>1.1947431302270013</c:v>
                </c:pt>
                <c:pt idx="62">
                  <c:v>2.264808362369338</c:v>
                </c:pt>
                <c:pt idx="63">
                  <c:v>2.7777777777777777</c:v>
                </c:pt>
                <c:pt idx="64">
                  <c:v>1.5053763440860215</c:v>
                </c:pt>
                <c:pt idx="65">
                  <c:v>1.0624169986719787</c:v>
                </c:pt>
                <c:pt idx="66">
                  <c:v>0.42643923240938164</c:v>
                </c:pt>
                <c:pt idx="67">
                  <c:v>1</c:v>
                </c:pt>
                <c:pt idx="68">
                  <c:v>1.1547344110854503</c:v>
                </c:pt>
                <c:pt idx="69">
                  <c:v>1.0901883052527255</c:v>
                </c:pt>
                <c:pt idx="70">
                  <c:v>1.0917030567685591</c:v>
                </c:pt>
                <c:pt idx="71">
                  <c:v>1.7021276595744681</c:v>
                </c:pt>
                <c:pt idx="72">
                  <c:v>1.3289036544850499</c:v>
                </c:pt>
                <c:pt idx="73">
                  <c:v>1.256281407035176</c:v>
                </c:pt>
                <c:pt idx="74">
                  <c:v>1.079913606911447</c:v>
                </c:pt>
                <c:pt idx="75">
                  <c:v>1.3196480938416422</c:v>
                </c:pt>
                <c:pt idx="76">
                  <c:v>1.0676156583629892</c:v>
                </c:pt>
                <c:pt idx="77">
                  <c:v>0.64102564102564108</c:v>
                </c:pt>
                <c:pt idx="78">
                  <c:v>0.8883248730964467</c:v>
                </c:pt>
                <c:pt idx="79">
                  <c:v>1.3245033112582782</c:v>
                </c:pt>
                <c:pt idx="80">
                  <c:v>1.1450381679389312</c:v>
                </c:pt>
                <c:pt idx="81">
                  <c:v>2.3411371237458196</c:v>
                </c:pt>
                <c:pt idx="82">
                  <c:v>0.76004343105320304</c:v>
                </c:pt>
                <c:pt idx="83">
                  <c:v>1.9758507135016465</c:v>
                </c:pt>
                <c:pt idx="84">
                  <c:v>1.5873015873015872</c:v>
                </c:pt>
                <c:pt idx="85">
                  <c:v>1.8624641833810889</c:v>
                </c:pt>
                <c:pt idx="86">
                  <c:v>1.8284106891701828</c:v>
                </c:pt>
                <c:pt idx="87">
                  <c:v>0.78369905956112851</c:v>
                </c:pt>
                <c:pt idx="88">
                  <c:v>1.3100436681222707</c:v>
                </c:pt>
                <c:pt idx="89">
                  <c:v>1.0416666666666667</c:v>
                </c:pt>
                <c:pt idx="90">
                  <c:v>0.94936708860759489</c:v>
                </c:pt>
                <c:pt idx="91">
                  <c:v>0.81775700934579443</c:v>
                </c:pt>
                <c:pt idx="92">
                  <c:v>0.94722598105548039</c:v>
                </c:pt>
                <c:pt idx="93">
                  <c:v>0.26041666666666669</c:v>
                </c:pt>
                <c:pt idx="94">
                  <c:v>0.56617126680820951</c:v>
                </c:pt>
                <c:pt idx="95">
                  <c:v>1.2244897959183674</c:v>
                </c:pt>
                <c:pt idx="96">
                  <c:v>0.54844606946983543</c:v>
                </c:pt>
                <c:pt idx="97">
                  <c:v>1.0535557506584723</c:v>
                </c:pt>
                <c:pt idx="98">
                  <c:v>0.73619631901840488</c:v>
                </c:pt>
                <c:pt idx="99">
                  <c:v>1.0765550239234449</c:v>
                </c:pt>
                <c:pt idx="100">
                  <c:v>0.81190798376184037</c:v>
                </c:pt>
                <c:pt idx="101">
                  <c:v>0.57377049180327866</c:v>
                </c:pt>
                <c:pt idx="102">
                  <c:v>1.415929203539823</c:v>
                </c:pt>
                <c:pt idx="103">
                  <c:v>0</c:v>
                </c:pt>
                <c:pt idx="104">
                  <c:v>0.5376344086021505</c:v>
                </c:pt>
                <c:pt idx="105">
                  <c:v>1.6311166875784191</c:v>
                </c:pt>
                <c:pt idx="106">
                  <c:v>0.69605568445475641</c:v>
                </c:pt>
                <c:pt idx="107">
                  <c:v>1.5568862275449102</c:v>
                </c:pt>
                <c:pt idx="108">
                  <c:v>2.3300970873786406</c:v>
                </c:pt>
                <c:pt idx="109">
                  <c:v>1.4644351464435146</c:v>
                </c:pt>
                <c:pt idx="110">
                  <c:v>1.3458950201884252</c:v>
                </c:pt>
                <c:pt idx="111">
                  <c:v>1.4507772020725389</c:v>
                </c:pt>
                <c:pt idx="112">
                  <c:v>1.0416666666666667</c:v>
                </c:pt>
                <c:pt idx="113">
                  <c:v>0.32733224222585927</c:v>
                </c:pt>
                <c:pt idx="114">
                  <c:v>2.0044543429844097</c:v>
                </c:pt>
                <c:pt idx="115">
                  <c:v>2.002503128911139</c:v>
                </c:pt>
                <c:pt idx="116">
                  <c:v>1.122334455667789</c:v>
                </c:pt>
                <c:pt idx="117">
                  <c:v>0.79155672823218992</c:v>
                </c:pt>
                <c:pt idx="118">
                  <c:v>0</c:v>
                </c:pt>
                <c:pt idx="119">
                  <c:v>1.3738959764474976</c:v>
                </c:pt>
                <c:pt idx="120">
                  <c:v>0.55788005578800559</c:v>
                </c:pt>
                <c:pt idx="121">
                  <c:v>1.0970464135021096</c:v>
                </c:pt>
                <c:pt idx="122">
                  <c:v>1.1940298507462686</c:v>
                </c:pt>
                <c:pt idx="123">
                  <c:v>1.9444444444444444</c:v>
                </c:pt>
                <c:pt idx="124">
                  <c:v>1.1083743842364533</c:v>
                </c:pt>
                <c:pt idx="125">
                  <c:v>1.8361581920903955</c:v>
                </c:pt>
                <c:pt idx="126">
                  <c:v>2.0556227327690446</c:v>
                </c:pt>
                <c:pt idx="127">
                  <c:v>1.7639077340569878</c:v>
                </c:pt>
                <c:pt idx="128">
                  <c:v>1.1095700416088765</c:v>
                </c:pt>
                <c:pt idx="129">
                  <c:v>2.7322404371584699</c:v>
                </c:pt>
                <c:pt idx="130">
                  <c:v>2.810304449648712</c:v>
                </c:pt>
                <c:pt idx="131">
                  <c:v>1.0141987829614605</c:v>
                </c:pt>
                <c:pt idx="132">
                  <c:v>1.1516314779270633</c:v>
                </c:pt>
                <c:pt idx="133">
                  <c:v>0.5859375</c:v>
                </c:pt>
                <c:pt idx="134">
                  <c:v>2.0257826887661143</c:v>
                </c:pt>
                <c:pt idx="135">
                  <c:v>1.2263099219620959</c:v>
                </c:pt>
                <c:pt idx="136">
                  <c:v>1.048951048951049</c:v>
                </c:pt>
                <c:pt idx="137">
                  <c:v>1.134020618556701</c:v>
                </c:pt>
                <c:pt idx="138">
                  <c:v>1.3681592039800996</c:v>
                </c:pt>
                <c:pt idx="139">
                  <c:v>2.6143790849673203</c:v>
                </c:pt>
                <c:pt idx="140">
                  <c:v>0.71485305798252585</c:v>
                </c:pt>
                <c:pt idx="141">
                  <c:v>0.83916083916083917</c:v>
                </c:pt>
                <c:pt idx="142">
                  <c:v>1.486988847583643</c:v>
                </c:pt>
                <c:pt idx="143">
                  <c:v>0.78125</c:v>
                </c:pt>
                <c:pt idx="144">
                  <c:v>0.77720207253886009</c:v>
                </c:pt>
                <c:pt idx="145">
                  <c:v>0.63965884861407252</c:v>
                </c:pt>
                <c:pt idx="146">
                  <c:v>0.2770083102493075</c:v>
                </c:pt>
                <c:pt idx="147">
                  <c:v>1.3740458015267176</c:v>
                </c:pt>
                <c:pt idx="148">
                  <c:v>1.3544018058690745</c:v>
                </c:pt>
                <c:pt idx="149">
                  <c:v>0.99557522123893805</c:v>
                </c:pt>
                <c:pt idx="150">
                  <c:v>1.0825439783491204</c:v>
                </c:pt>
                <c:pt idx="151">
                  <c:v>1.9230769230769231</c:v>
                </c:pt>
                <c:pt idx="152">
                  <c:v>1.7543859649122806</c:v>
                </c:pt>
                <c:pt idx="153">
                  <c:v>0.98814229249011853</c:v>
                </c:pt>
                <c:pt idx="154">
                  <c:v>1.0638297872340425</c:v>
                </c:pt>
                <c:pt idx="155">
                  <c:v>0.82758620689655171</c:v>
                </c:pt>
                <c:pt idx="156">
                  <c:v>0.50607287449392713</c:v>
                </c:pt>
                <c:pt idx="157">
                  <c:v>1.4962593516209477</c:v>
                </c:pt>
                <c:pt idx="158">
                  <c:v>1.837270341207349</c:v>
                </c:pt>
                <c:pt idx="159">
                  <c:v>1.8181818181818181</c:v>
                </c:pt>
                <c:pt idx="160">
                  <c:v>1.2371134020618557</c:v>
                </c:pt>
                <c:pt idx="161">
                  <c:v>1.1695906432748537</c:v>
                </c:pt>
                <c:pt idx="162">
                  <c:v>0.57306590257879653</c:v>
                </c:pt>
                <c:pt idx="163">
                  <c:v>1.5649452269170578</c:v>
                </c:pt>
                <c:pt idx="164">
                  <c:v>0.76569678407350694</c:v>
                </c:pt>
                <c:pt idx="165">
                  <c:v>1.228878648233487</c:v>
                </c:pt>
                <c:pt idx="166">
                  <c:v>0.60851926977687631</c:v>
                </c:pt>
                <c:pt idx="167">
                  <c:v>1.0676156583629892</c:v>
                </c:pt>
                <c:pt idx="168">
                  <c:v>1.2755102040816326</c:v>
                </c:pt>
                <c:pt idx="169">
                  <c:v>0.6211180124223602</c:v>
                </c:pt>
                <c:pt idx="170">
                  <c:v>0.16393442622950818</c:v>
                </c:pt>
                <c:pt idx="171">
                  <c:v>0.73664825046040516</c:v>
                </c:pt>
                <c:pt idx="172">
                  <c:v>0.80862533692722371</c:v>
                </c:pt>
                <c:pt idx="173">
                  <c:v>0.77519379844961245</c:v>
                </c:pt>
                <c:pt idx="174">
                  <c:v>2.0618556701030926</c:v>
                </c:pt>
                <c:pt idx="175">
                  <c:v>1.1551155115511551</c:v>
                </c:pt>
                <c:pt idx="176">
                  <c:v>2.1352313167259784</c:v>
                </c:pt>
                <c:pt idx="177">
                  <c:v>1.2040557667934093</c:v>
                </c:pt>
                <c:pt idx="178">
                  <c:v>0.86655112651646449</c:v>
                </c:pt>
                <c:pt idx="179">
                  <c:v>0.54249547920433994</c:v>
                </c:pt>
                <c:pt idx="180">
                  <c:v>1.5299026425591098</c:v>
                </c:pt>
                <c:pt idx="181">
                  <c:v>2.1352313167259784</c:v>
                </c:pt>
              </c:numCache>
            </c:numRef>
          </c:yVal>
          <c:bubbleSize>
            <c:numRef>
              <c:f>'Дума партии'!$J$2:$J$184</c:f>
              <c:numCache>
                <c:formatCode>General</c:formatCode>
                <c:ptCount val="182"/>
                <c:pt idx="0">
                  <c:v>2451</c:v>
                </c:pt>
                <c:pt idx="1">
                  <c:v>1779</c:v>
                </c:pt>
                <c:pt idx="2">
                  <c:v>1942</c:v>
                </c:pt>
                <c:pt idx="3">
                  <c:v>2110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422</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2240</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1292</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290</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2226</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3017</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C-36CE-4AFB-9313-7A7B86C5B0D3}"/>
            </c:ext>
          </c:extLst>
        </c:ser>
        <c:ser>
          <c:idx val="3"/>
          <c:order val="13"/>
          <c:tx>
            <c:strRef>
              <c:f>'Дума партии'!$BB$1</c:f>
              <c:strCache>
                <c:ptCount val="1"/>
                <c:pt idx="0">
                  <c:v>Пенсионеров</c:v>
                </c:pt>
              </c:strCache>
            </c:strRef>
          </c:tx>
          <c:spPr>
            <a:solidFill>
              <a:srgbClr val="996633">
                <a:alpha val="49804"/>
              </a:srgbClr>
            </a:solidFill>
            <a:ln w="25400"/>
          </c:spPr>
          <c:invertIfNegative val="0"/>
          <c:xVal>
            <c:numRef>
              <c:f>'Дума партии'!$O$2:$O$184</c:f>
              <c:numCache>
                <c:formatCode>0.0</c:formatCode>
                <c:ptCount val="182"/>
                <c:pt idx="0">
                  <c:v>65.769073847409217</c:v>
                </c:pt>
                <c:pt idx="1">
                  <c:v>54.693648116919618</c:v>
                </c:pt>
                <c:pt idx="2">
                  <c:v>56.333676622039135</c:v>
                </c:pt>
                <c:pt idx="3">
                  <c:v>56.919431279620852</c:v>
                </c:pt>
                <c:pt idx="4">
                  <c:v>49.812130971551262</c:v>
                </c:pt>
                <c:pt idx="5">
                  <c:v>52.610030706243606</c:v>
                </c:pt>
                <c:pt idx="6">
                  <c:v>62.290927521540802</c:v>
                </c:pt>
                <c:pt idx="7">
                  <c:v>71.452328159645234</c:v>
                </c:pt>
                <c:pt idx="8">
                  <c:v>73.707753479125245</c:v>
                </c:pt>
                <c:pt idx="9">
                  <c:v>38.504037399065027</c:v>
                </c:pt>
                <c:pt idx="10">
                  <c:v>26.023778071334213</c:v>
                </c:pt>
                <c:pt idx="11">
                  <c:v>73.80952380952381</c:v>
                </c:pt>
                <c:pt idx="12">
                  <c:v>52.41128298453139</c:v>
                </c:pt>
                <c:pt idx="13">
                  <c:v>35.041666666666664</c:v>
                </c:pt>
                <c:pt idx="14">
                  <c:v>48.479868529170091</c:v>
                </c:pt>
                <c:pt idx="15">
                  <c:v>30.726256983240223</c:v>
                </c:pt>
                <c:pt idx="16">
                  <c:v>49.526066350710899</c:v>
                </c:pt>
                <c:pt idx="17">
                  <c:v>34.267413931144915</c:v>
                </c:pt>
                <c:pt idx="18">
                  <c:v>48.776223776223773</c:v>
                </c:pt>
                <c:pt idx="19">
                  <c:v>36.920222634508349</c:v>
                </c:pt>
                <c:pt idx="20">
                  <c:v>26.006528835690968</c:v>
                </c:pt>
                <c:pt idx="21">
                  <c:v>47.85954785954786</c:v>
                </c:pt>
                <c:pt idx="22">
                  <c:v>33.182844243792324</c:v>
                </c:pt>
                <c:pt idx="23">
                  <c:v>38.321342925659472</c:v>
                </c:pt>
                <c:pt idx="24">
                  <c:v>32.349052446011456</c:v>
                </c:pt>
                <c:pt idx="25">
                  <c:v>38.541666666666664</c:v>
                </c:pt>
                <c:pt idx="26">
                  <c:v>54.414682539682538</c:v>
                </c:pt>
                <c:pt idx="27">
                  <c:v>44.678111587982833</c:v>
                </c:pt>
                <c:pt idx="28">
                  <c:v>48.960216998191683</c:v>
                </c:pt>
                <c:pt idx="29">
                  <c:v>36.23435722411832</c:v>
                </c:pt>
                <c:pt idx="30">
                  <c:v>41.570026761819804</c:v>
                </c:pt>
                <c:pt idx="31">
                  <c:v>30.401785714285715</c:v>
                </c:pt>
                <c:pt idx="32">
                  <c:v>40.432098765432102</c:v>
                </c:pt>
                <c:pt idx="33">
                  <c:v>95.27145359019265</c:v>
                </c:pt>
                <c:pt idx="34">
                  <c:v>43.419689119170982</c:v>
                </c:pt>
                <c:pt idx="35">
                  <c:v>61.180952380952384</c:v>
                </c:pt>
                <c:pt idx="36">
                  <c:v>82.278481012658233</c:v>
                </c:pt>
                <c:pt idx="37">
                  <c:v>37.891440501043839</c:v>
                </c:pt>
                <c:pt idx="38">
                  <c:v>40.373395565927652</c:v>
                </c:pt>
                <c:pt idx="39">
                  <c:v>40.014164305949009</c:v>
                </c:pt>
                <c:pt idx="40">
                  <c:v>35.019646365422396</c:v>
                </c:pt>
                <c:pt idx="41">
                  <c:v>32.91592128801431</c:v>
                </c:pt>
                <c:pt idx="42">
                  <c:v>34.583952451708768</c:v>
                </c:pt>
                <c:pt idx="43">
                  <c:v>34.065460809646858</c:v>
                </c:pt>
                <c:pt idx="44">
                  <c:v>66.542133665421332</c:v>
                </c:pt>
                <c:pt idx="45">
                  <c:v>82.972136222910223</c:v>
                </c:pt>
                <c:pt idx="46">
                  <c:v>64.759725400457668</c:v>
                </c:pt>
                <c:pt idx="47">
                  <c:v>40.809968847352025</c:v>
                </c:pt>
                <c:pt idx="48">
                  <c:v>45.801033591731269</c:v>
                </c:pt>
                <c:pt idx="49">
                  <c:v>54.984354045596781</c:v>
                </c:pt>
                <c:pt idx="50">
                  <c:v>40.988835725677831</c:v>
                </c:pt>
                <c:pt idx="51">
                  <c:v>37.672465506898618</c:v>
                </c:pt>
                <c:pt idx="52">
                  <c:v>42.771804062126641</c:v>
                </c:pt>
                <c:pt idx="53">
                  <c:v>78.285714285714292</c:v>
                </c:pt>
                <c:pt idx="54">
                  <c:v>35.802469135802468</c:v>
                </c:pt>
                <c:pt idx="55">
                  <c:v>34.591626630061768</c:v>
                </c:pt>
                <c:pt idx="56">
                  <c:v>43.99198931909212</c:v>
                </c:pt>
                <c:pt idx="57">
                  <c:v>35.998498498498499</c:v>
                </c:pt>
                <c:pt idx="58">
                  <c:v>28.264758497316638</c:v>
                </c:pt>
                <c:pt idx="59">
                  <c:v>41.413753361505954</c:v>
                </c:pt>
                <c:pt idx="60">
                  <c:v>38.279830405814657</c:v>
                </c:pt>
                <c:pt idx="61">
                  <c:v>44.122298365840798</c:v>
                </c:pt>
                <c:pt idx="62">
                  <c:v>28.415841584158414</c:v>
                </c:pt>
                <c:pt idx="63">
                  <c:v>28.213166144200628</c:v>
                </c:pt>
                <c:pt idx="64">
                  <c:v>31.632653061224488</c:v>
                </c:pt>
                <c:pt idx="65">
                  <c:v>57.634902411021812</c:v>
                </c:pt>
                <c:pt idx="66">
                  <c:v>65.963431786216603</c:v>
                </c:pt>
                <c:pt idx="67">
                  <c:v>59.171597633136095</c:v>
                </c:pt>
                <c:pt idx="68">
                  <c:v>46.972972972972975</c:v>
                </c:pt>
                <c:pt idx="69">
                  <c:v>52.910330361824855</c:v>
                </c:pt>
                <c:pt idx="70">
                  <c:v>36.995153473344104</c:v>
                </c:pt>
                <c:pt idx="71">
                  <c:v>41.978609625668447</c:v>
                </c:pt>
                <c:pt idx="72">
                  <c:v>40.463576158940398</c:v>
                </c:pt>
                <c:pt idx="73">
                  <c:v>22.40990990990991</c:v>
                </c:pt>
                <c:pt idx="74">
                  <c:v>35.343511450381676</c:v>
                </c:pt>
                <c:pt idx="75">
                  <c:v>51.278195488721806</c:v>
                </c:pt>
                <c:pt idx="76">
                  <c:v>55.201177625122668</c:v>
                </c:pt>
                <c:pt idx="77">
                  <c:v>57.815126050420169</c:v>
                </c:pt>
                <c:pt idx="78">
                  <c:v>51.873767258382642</c:v>
                </c:pt>
                <c:pt idx="79">
                  <c:v>42.535211267605632</c:v>
                </c:pt>
                <c:pt idx="80">
                  <c:v>51.540983606557376</c:v>
                </c:pt>
                <c:pt idx="81">
                  <c:v>40.625</c:v>
                </c:pt>
                <c:pt idx="82">
                  <c:v>47.904811174340402</c:v>
                </c:pt>
                <c:pt idx="83">
                  <c:v>44.525904203323556</c:v>
                </c:pt>
                <c:pt idx="84">
                  <c:v>40.621336459554513</c:v>
                </c:pt>
                <c:pt idx="85">
                  <c:v>40.938416422287389</c:v>
                </c:pt>
                <c:pt idx="86">
                  <c:v>46.500981033355131</c:v>
                </c:pt>
                <c:pt idx="87">
                  <c:v>35.444444444444443</c:v>
                </c:pt>
                <c:pt idx="88">
                  <c:v>38.161993769470406</c:v>
                </c:pt>
                <c:pt idx="89">
                  <c:v>43.880142204164549</c:v>
                </c:pt>
                <c:pt idx="90">
                  <c:v>49.60753532182104</c:v>
                </c:pt>
                <c:pt idx="91">
                  <c:v>51.973284760170003</c:v>
                </c:pt>
                <c:pt idx="92">
                  <c:v>56.155015197568389</c:v>
                </c:pt>
                <c:pt idx="93">
                  <c:v>63.973344439816742</c:v>
                </c:pt>
                <c:pt idx="94">
                  <c:v>66.090611863615138</c:v>
                </c:pt>
                <c:pt idx="95">
                  <c:v>65.528455284552848</c:v>
                </c:pt>
                <c:pt idx="96">
                  <c:v>59.78142076502732</c:v>
                </c:pt>
                <c:pt idx="97">
                  <c:v>47.716799329702553</c:v>
                </c:pt>
                <c:pt idx="98">
                  <c:v>53.094462540716613</c:v>
                </c:pt>
                <c:pt idx="99">
                  <c:v>31.606805293005671</c:v>
                </c:pt>
                <c:pt idx="100">
                  <c:v>36.172295643661279</c:v>
                </c:pt>
                <c:pt idx="101">
                  <c:v>57.703081232492998</c:v>
                </c:pt>
                <c:pt idx="102">
                  <c:v>57.186234817813762</c:v>
                </c:pt>
                <c:pt idx="103">
                  <c:v>100</c:v>
                </c:pt>
                <c:pt idx="104">
                  <c:v>90.865384615384613</c:v>
                </c:pt>
                <c:pt idx="105">
                  <c:v>45.725760183591511</c:v>
                </c:pt>
                <c:pt idx="106">
                  <c:v>38.141592920353979</c:v>
                </c:pt>
                <c:pt idx="107">
                  <c:v>35.991379310344826</c:v>
                </c:pt>
                <c:pt idx="108">
                  <c:v>40.813135261923378</c:v>
                </c:pt>
                <c:pt idx="109">
                  <c:v>37.786561264822133</c:v>
                </c:pt>
                <c:pt idx="110">
                  <c:v>42.659279778393355</c:v>
                </c:pt>
                <c:pt idx="111">
                  <c:v>39.198131568703779</c:v>
                </c:pt>
                <c:pt idx="112">
                  <c:v>39.279869067103107</c:v>
                </c:pt>
                <c:pt idx="113">
                  <c:v>42.108890420399725</c:v>
                </c:pt>
                <c:pt idx="114">
                  <c:v>37.489609310058185</c:v>
                </c:pt>
                <c:pt idx="115">
                  <c:v>35.413899955732624</c:v>
                </c:pt>
                <c:pt idx="116">
                  <c:v>48.197955890263586</c:v>
                </c:pt>
                <c:pt idx="117">
                  <c:v>36.372360844529751</c:v>
                </c:pt>
                <c:pt idx="118">
                  <c:v>0</c:v>
                </c:pt>
                <c:pt idx="119">
                  <c:v>41.97530864197531</c:v>
                </c:pt>
                <c:pt idx="120">
                  <c:v>32.253711201079625</c:v>
                </c:pt>
                <c:pt idx="121">
                  <c:v>51.320918146383718</c:v>
                </c:pt>
                <c:pt idx="122">
                  <c:v>33.550325488232346</c:v>
                </c:pt>
                <c:pt idx="123">
                  <c:v>35.837864557587743</c:v>
                </c:pt>
                <c:pt idx="124">
                  <c:v>43.203883495145632</c:v>
                </c:pt>
                <c:pt idx="125">
                  <c:v>40.560640732265448</c:v>
                </c:pt>
                <c:pt idx="126">
                  <c:v>36.066288704753596</c:v>
                </c:pt>
                <c:pt idx="127">
                  <c:v>34.057301293900181</c:v>
                </c:pt>
                <c:pt idx="128">
                  <c:v>36.285858077503775</c:v>
                </c:pt>
                <c:pt idx="129">
                  <c:v>42.036753445635526</c:v>
                </c:pt>
                <c:pt idx="130">
                  <c:v>70.199587061252586</c:v>
                </c:pt>
                <c:pt idx="131">
                  <c:v>31.971465629053178</c:v>
                </c:pt>
                <c:pt idx="132">
                  <c:v>35.394021739130437</c:v>
                </c:pt>
                <c:pt idx="133">
                  <c:v>35.140700068634182</c:v>
                </c:pt>
                <c:pt idx="134">
                  <c:v>29.351351351351351</c:v>
                </c:pt>
                <c:pt idx="135">
                  <c:v>42.471590909090907</c:v>
                </c:pt>
                <c:pt idx="136">
                  <c:v>55.265700483091784</c:v>
                </c:pt>
                <c:pt idx="137">
                  <c:v>51.10526315789474</c:v>
                </c:pt>
                <c:pt idx="138">
                  <c:v>36.855895196506552</c:v>
                </c:pt>
                <c:pt idx="139">
                  <c:v>34.820209376422397</c:v>
                </c:pt>
                <c:pt idx="140">
                  <c:v>69.944444444444443</c:v>
                </c:pt>
                <c:pt idx="141">
                  <c:v>33.010156971375807</c:v>
                </c:pt>
                <c:pt idx="142">
                  <c:v>40.26290165530672</c:v>
                </c:pt>
                <c:pt idx="143">
                  <c:v>38.359412043622569</c:v>
                </c:pt>
                <c:pt idx="144">
                  <c:v>30.732484076433121</c:v>
                </c:pt>
                <c:pt idx="145">
                  <c:v>37.028301886792455</c:v>
                </c:pt>
                <c:pt idx="146">
                  <c:v>35.288367546432063</c:v>
                </c:pt>
                <c:pt idx="147">
                  <c:v>34.275248560962844</c:v>
                </c:pt>
                <c:pt idx="148">
                  <c:v>38.125802310654684</c:v>
                </c:pt>
                <c:pt idx="149">
                  <c:v>40.745732255166217</c:v>
                </c:pt>
                <c:pt idx="150">
                  <c:v>27.971233913701742</c:v>
                </c:pt>
                <c:pt idx="151">
                  <c:v>28.618602091359385</c:v>
                </c:pt>
                <c:pt idx="152">
                  <c:v>32.336255801959773</c:v>
                </c:pt>
                <c:pt idx="153">
                  <c:v>24.444444444444443</c:v>
                </c:pt>
                <c:pt idx="154">
                  <c:v>28.796498905908095</c:v>
                </c:pt>
                <c:pt idx="155">
                  <c:v>28.420227361818895</c:v>
                </c:pt>
                <c:pt idx="156">
                  <c:v>33.021390374331553</c:v>
                </c:pt>
                <c:pt idx="157">
                  <c:v>53.324468085106382</c:v>
                </c:pt>
                <c:pt idx="158">
                  <c:v>48.549810844892811</c:v>
                </c:pt>
                <c:pt idx="159">
                  <c:v>32.177931831311383</c:v>
                </c:pt>
                <c:pt idx="160">
                  <c:v>44.659300184162063</c:v>
                </c:pt>
                <c:pt idx="161">
                  <c:v>28.372555518727211</c:v>
                </c:pt>
                <c:pt idx="162">
                  <c:v>26.083707025411062</c:v>
                </c:pt>
                <c:pt idx="163">
                  <c:v>27.099236641221374</c:v>
                </c:pt>
                <c:pt idx="164">
                  <c:v>29.520795660036168</c:v>
                </c:pt>
                <c:pt idx="165">
                  <c:v>26.91194708557255</c:v>
                </c:pt>
                <c:pt idx="166">
                  <c:v>22.96983758700696</c:v>
                </c:pt>
                <c:pt idx="167">
                  <c:v>23.950826621449767</c:v>
                </c:pt>
                <c:pt idx="168">
                  <c:v>26.504394861392832</c:v>
                </c:pt>
                <c:pt idx="169">
                  <c:v>22.563417890520693</c:v>
                </c:pt>
                <c:pt idx="170">
                  <c:v>22.906496432594817</c:v>
                </c:pt>
                <c:pt idx="171">
                  <c:v>42.521534847298355</c:v>
                </c:pt>
                <c:pt idx="172">
                  <c:v>34.256694367497694</c:v>
                </c:pt>
                <c:pt idx="173">
                  <c:v>31.412337662337663</c:v>
                </c:pt>
                <c:pt idx="174">
                  <c:v>37.596899224806201</c:v>
                </c:pt>
                <c:pt idx="175">
                  <c:v>35.335276967930028</c:v>
                </c:pt>
                <c:pt idx="176">
                  <c:v>49.561146869514339</c:v>
                </c:pt>
                <c:pt idx="177">
                  <c:v>64.645637034002462</c:v>
                </c:pt>
                <c:pt idx="178">
                  <c:v>31.949058693244741</c:v>
                </c:pt>
                <c:pt idx="179">
                  <c:v>42.149390243902438</c:v>
                </c:pt>
                <c:pt idx="180">
                  <c:v>43.365500603136311</c:v>
                </c:pt>
                <c:pt idx="181">
                  <c:v>26.360225140712945</c:v>
                </c:pt>
              </c:numCache>
            </c:numRef>
          </c:xVal>
          <c:yVal>
            <c:numRef>
              <c:f>'Дума партии'!$BB$2:$BB$184</c:f>
              <c:numCache>
                <c:formatCode>0.0</c:formatCode>
                <c:ptCount val="182"/>
                <c:pt idx="0">
                  <c:v>4.7766749379652609</c:v>
                </c:pt>
                <c:pt idx="1">
                  <c:v>2.8836251287332648</c:v>
                </c:pt>
                <c:pt idx="2">
                  <c:v>0.64043915827996345</c:v>
                </c:pt>
                <c:pt idx="3">
                  <c:v>2.5898078529657478</c:v>
                </c:pt>
                <c:pt idx="4">
                  <c:v>4.7516198704103676</c:v>
                </c:pt>
                <c:pt idx="5">
                  <c:v>3.4280117531831538</c:v>
                </c:pt>
                <c:pt idx="6">
                  <c:v>2.3020257826887662</c:v>
                </c:pt>
                <c:pt idx="7">
                  <c:v>2.2673964034401877</c:v>
                </c:pt>
                <c:pt idx="8">
                  <c:v>2.0229265003371544</c:v>
                </c:pt>
                <c:pt idx="9">
                  <c:v>4.3478260869565215</c:v>
                </c:pt>
                <c:pt idx="10">
                  <c:v>2.5380710659898478</c:v>
                </c:pt>
                <c:pt idx="11">
                  <c:v>1.6897081413210446</c:v>
                </c:pt>
                <c:pt idx="12">
                  <c:v>5.0347222222222223</c:v>
                </c:pt>
                <c:pt idx="13">
                  <c:v>2.9726516052318668</c:v>
                </c:pt>
                <c:pt idx="14">
                  <c:v>3.2203389830508473</c:v>
                </c:pt>
                <c:pt idx="15">
                  <c:v>3.8016528925619837</c:v>
                </c:pt>
                <c:pt idx="16">
                  <c:v>1.9138755980861244</c:v>
                </c:pt>
                <c:pt idx="17">
                  <c:v>3.7914691943127963</c:v>
                </c:pt>
                <c:pt idx="18">
                  <c:v>1.5531660692951015</c:v>
                </c:pt>
                <c:pt idx="19">
                  <c:v>1.6129032258064515</c:v>
                </c:pt>
                <c:pt idx="20">
                  <c:v>3.3472803347280333</c:v>
                </c:pt>
                <c:pt idx="21">
                  <c:v>2.8140703517587942</c:v>
                </c:pt>
                <c:pt idx="22">
                  <c:v>3.6784741144414168</c:v>
                </c:pt>
                <c:pt idx="23">
                  <c:v>4.8811013767209008</c:v>
                </c:pt>
                <c:pt idx="24">
                  <c:v>3.4199726402188784</c:v>
                </c:pt>
                <c:pt idx="25">
                  <c:v>4.2997542997542997</c:v>
                </c:pt>
                <c:pt idx="26">
                  <c:v>3.0993618960802189</c:v>
                </c:pt>
                <c:pt idx="27">
                  <c:v>3.3041788143828961</c:v>
                </c:pt>
                <c:pt idx="28">
                  <c:v>3.142329020332717</c:v>
                </c:pt>
                <c:pt idx="29">
                  <c:v>3.4536891679748822</c:v>
                </c:pt>
                <c:pt idx="30">
                  <c:v>6.866952789699571</c:v>
                </c:pt>
                <c:pt idx="31">
                  <c:v>3.6710719530102791</c:v>
                </c:pt>
                <c:pt idx="32">
                  <c:v>4.3893129770992365</c:v>
                </c:pt>
                <c:pt idx="33">
                  <c:v>3.3149171270718232</c:v>
                </c:pt>
                <c:pt idx="34">
                  <c:v>1.1933174224343674</c:v>
                </c:pt>
                <c:pt idx="35">
                  <c:v>3.3001245330012452</c:v>
                </c:pt>
                <c:pt idx="36">
                  <c:v>1.9047619047619047</c:v>
                </c:pt>
                <c:pt idx="37">
                  <c:v>1.9283746556473829</c:v>
                </c:pt>
                <c:pt idx="38">
                  <c:v>2.601156069364162</c:v>
                </c:pt>
                <c:pt idx="39">
                  <c:v>2.1238938053097347</c:v>
                </c:pt>
                <c:pt idx="40">
                  <c:v>2.7181688125894135</c:v>
                </c:pt>
                <c:pt idx="41">
                  <c:v>2.7173913043478262</c:v>
                </c:pt>
                <c:pt idx="42">
                  <c:v>4.9409237379162194</c:v>
                </c:pt>
                <c:pt idx="43">
                  <c:v>4.6776232616940581</c:v>
                </c:pt>
                <c:pt idx="44">
                  <c:v>1.0611735330836454</c:v>
                </c:pt>
                <c:pt idx="45">
                  <c:v>1.028999064546305</c:v>
                </c:pt>
                <c:pt idx="46">
                  <c:v>3.8869257950530036</c:v>
                </c:pt>
                <c:pt idx="47">
                  <c:v>4.885496183206107</c:v>
                </c:pt>
                <c:pt idx="48">
                  <c:v>4.090267983074753</c:v>
                </c:pt>
                <c:pt idx="49">
                  <c:v>2.4691358024691357</c:v>
                </c:pt>
                <c:pt idx="50">
                  <c:v>3.2425421530479897</c:v>
                </c:pt>
                <c:pt idx="51">
                  <c:v>3.9808917197452227</c:v>
                </c:pt>
                <c:pt idx="52">
                  <c:v>4.4692737430167595</c:v>
                </c:pt>
                <c:pt idx="53">
                  <c:v>1.9464720194647203</c:v>
                </c:pt>
                <c:pt idx="54">
                  <c:v>4.2319749216300941</c:v>
                </c:pt>
                <c:pt idx="55">
                  <c:v>5.5555555555555554</c:v>
                </c:pt>
                <c:pt idx="56">
                  <c:v>3.6418816388467374</c:v>
                </c:pt>
                <c:pt idx="57">
                  <c:v>2.7111574556830029</c:v>
                </c:pt>
                <c:pt idx="58">
                  <c:v>1.7721518987341771</c:v>
                </c:pt>
                <c:pt idx="59">
                  <c:v>3.8961038961038961</c:v>
                </c:pt>
                <c:pt idx="60">
                  <c:v>3.3227848101265822</c:v>
                </c:pt>
                <c:pt idx="61">
                  <c:v>2.5089605734767026</c:v>
                </c:pt>
                <c:pt idx="62">
                  <c:v>2.0905923344947737</c:v>
                </c:pt>
                <c:pt idx="63">
                  <c:v>3.8888888888888888</c:v>
                </c:pt>
                <c:pt idx="64">
                  <c:v>5.161290322580645</c:v>
                </c:pt>
                <c:pt idx="65">
                  <c:v>3.1208499335989375</c:v>
                </c:pt>
                <c:pt idx="66">
                  <c:v>3.8379530916844349</c:v>
                </c:pt>
                <c:pt idx="67">
                  <c:v>3.5</c:v>
                </c:pt>
                <c:pt idx="68">
                  <c:v>3.464203233256351</c:v>
                </c:pt>
                <c:pt idx="69">
                  <c:v>3.6669970267591676</c:v>
                </c:pt>
                <c:pt idx="70">
                  <c:v>3.2751091703056767</c:v>
                </c:pt>
                <c:pt idx="71">
                  <c:v>3.8297872340425534</c:v>
                </c:pt>
                <c:pt idx="72">
                  <c:v>3.9867109634551494</c:v>
                </c:pt>
                <c:pt idx="73">
                  <c:v>2.7638190954773871</c:v>
                </c:pt>
                <c:pt idx="74">
                  <c:v>4.5356371490280774</c:v>
                </c:pt>
                <c:pt idx="75">
                  <c:v>1.6129032258064515</c:v>
                </c:pt>
                <c:pt idx="76">
                  <c:v>3.1138790035587189</c:v>
                </c:pt>
                <c:pt idx="77">
                  <c:v>3.0448717948717947</c:v>
                </c:pt>
                <c:pt idx="78">
                  <c:v>4.187817258883249</c:v>
                </c:pt>
                <c:pt idx="79">
                  <c:v>3.9735099337748343</c:v>
                </c:pt>
                <c:pt idx="80">
                  <c:v>4.5801526717557248</c:v>
                </c:pt>
                <c:pt idx="81">
                  <c:v>5.183946488294314</c:v>
                </c:pt>
                <c:pt idx="82">
                  <c:v>3.5830618892508141</c:v>
                </c:pt>
                <c:pt idx="83">
                  <c:v>3.402854006586169</c:v>
                </c:pt>
                <c:pt idx="84">
                  <c:v>2.8860028860028861</c:v>
                </c:pt>
                <c:pt idx="85">
                  <c:v>4.5845272206303722</c:v>
                </c:pt>
                <c:pt idx="86">
                  <c:v>4.0787623066104075</c:v>
                </c:pt>
                <c:pt idx="87">
                  <c:v>4.2319749216300941</c:v>
                </c:pt>
                <c:pt idx="88">
                  <c:v>2.6200873362445414</c:v>
                </c:pt>
                <c:pt idx="89">
                  <c:v>2.6620370370370372</c:v>
                </c:pt>
                <c:pt idx="90">
                  <c:v>4.0084388185654012</c:v>
                </c:pt>
                <c:pt idx="91">
                  <c:v>2.4532710280373831</c:v>
                </c:pt>
                <c:pt idx="92">
                  <c:v>1.6238159675236807</c:v>
                </c:pt>
                <c:pt idx="93">
                  <c:v>2.0833333333333335</c:v>
                </c:pt>
                <c:pt idx="94">
                  <c:v>0.56617126680820951</c:v>
                </c:pt>
                <c:pt idx="95">
                  <c:v>8.2993197278911559</c:v>
                </c:pt>
                <c:pt idx="96">
                  <c:v>0</c:v>
                </c:pt>
                <c:pt idx="97">
                  <c:v>3.2484635645302897</c:v>
                </c:pt>
                <c:pt idx="98">
                  <c:v>3.4355828220858897</c:v>
                </c:pt>
                <c:pt idx="99">
                  <c:v>4.5454545454545459</c:v>
                </c:pt>
                <c:pt idx="100">
                  <c:v>4.7361299052774015</c:v>
                </c:pt>
                <c:pt idx="101">
                  <c:v>3.360655737704918</c:v>
                </c:pt>
                <c:pt idx="102">
                  <c:v>3.1858407079646018</c:v>
                </c:pt>
                <c:pt idx="103">
                  <c:v>1.0344827586206897</c:v>
                </c:pt>
                <c:pt idx="104">
                  <c:v>4.301075268817204</c:v>
                </c:pt>
                <c:pt idx="105">
                  <c:v>4.2659974905897116</c:v>
                </c:pt>
                <c:pt idx="106">
                  <c:v>3.2482598607888633</c:v>
                </c:pt>
                <c:pt idx="107">
                  <c:v>2.9940119760479043</c:v>
                </c:pt>
                <c:pt idx="108">
                  <c:v>3.3009708737864076</c:v>
                </c:pt>
                <c:pt idx="109">
                  <c:v>4.3933054393305442</c:v>
                </c:pt>
                <c:pt idx="110">
                  <c:v>2.1534320323014806</c:v>
                </c:pt>
                <c:pt idx="111">
                  <c:v>2.9015544041450778</c:v>
                </c:pt>
                <c:pt idx="112">
                  <c:v>2.5</c:v>
                </c:pt>
                <c:pt idx="113">
                  <c:v>1.9639934533551555</c:v>
                </c:pt>
                <c:pt idx="114">
                  <c:v>3.3407572383073498</c:v>
                </c:pt>
                <c:pt idx="115">
                  <c:v>4.7559449311639552</c:v>
                </c:pt>
                <c:pt idx="116">
                  <c:v>2.244668911335578</c:v>
                </c:pt>
                <c:pt idx="117">
                  <c:v>2.5065963060686016</c:v>
                </c:pt>
                <c:pt idx="118">
                  <c:v>0</c:v>
                </c:pt>
                <c:pt idx="119">
                  <c:v>3.7291462217860647</c:v>
                </c:pt>
                <c:pt idx="120">
                  <c:v>3.2078103207810322</c:v>
                </c:pt>
                <c:pt idx="121">
                  <c:v>3.3755274261603376</c:v>
                </c:pt>
                <c:pt idx="122">
                  <c:v>2.8358208955223883</c:v>
                </c:pt>
                <c:pt idx="123">
                  <c:v>3.8888888888888888</c:v>
                </c:pt>
                <c:pt idx="124">
                  <c:v>3.6945812807881775</c:v>
                </c:pt>
                <c:pt idx="125">
                  <c:v>4.6610169491525424</c:v>
                </c:pt>
                <c:pt idx="126">
                  <c:v>5.6831922611850061</c:v>
                </c:pt>
                <c:pt idx="127">
                  <c:v>4.6132971506105838</c:v>
                </c:pt>
                <c:pt idx="128">
                  <c:v>3.3287101248266295</c:v>
                </c:pt>
                <c:pt idx="129">
                  <c:v>5.2823315118397085</c:v>
                </c:pt>
                <c:pt idx="130">
                  <c:v>3.5128805620608898</c:v>
                </c:pt>
                <c:pt idx="131">
                  <c:v>3.6511156186612577</c:v>
                </c:pt>
                <c:pt idx="132">
                  <c:v>3.45489443378119</c:v>
                </c:pt>
                <c:pt idx="133">
                  <c:v>4.6875</c:v>
                </c:pt>
                <c:pt idx="134">
                  <c:v>1.2891344383057091</c:v>
                </c:pt>
                <c:pt idx="135">
                  <c:v>2.787068004459309</c:v>
                </c:pt>
                <c:pt idx="136">
                  <c:v>2.2727272727272729</c:v>
                </c:pt>
                <c:pt idx="137">
                  <c:v>1.7525773195876289</c:v>
                </c:pt>
                <c:pt idx="138">
                  <c:v>2.4875621890547261</c:v>
                </c:pt>
                <c:pt idx="139">
                  <c:v>3.6601307189542482</c:v>
                </c:pt>
                <c:pt idx="140">
                  <c:v>0.63542494042891184</c:v>
                </c:pt>
                <c:pt idx="141">
                  <c:v>3.6363636363636362</c:v>
                </c:pt>
                <c:pt idx="142">
                  <c:v>3.2218091697645601</c:v>
                </c:pt>
                <c:pt idx="143">
                  <c:v>3.3854166666666665</c:v>
                </c:pt>
                <c:pt idx="144">
                  <c:v>3.3678756476683938</c:v>
                </c:pt>
                <c:pt idx="145">
                  <c:v>2.9850746268656718</c:v>
                </c:pt>
                <c:pt idx="146">
                  <c:v>2.770083102493075</c:v>
                </c:pt>
                <c:pt idx="147">
                  <c:v>2.4427480916030535</c:v>
                </c:pt>
                <c:pt idx="148">
                  <c:v>2.8216704288939054</c:v>
                </c:pt>
                <c:pt idx="149">
                  <c:v>2.5442477876106193</c:v>
                </c:pt>
                <c:pt idx="150">
                  <c:v>3.9242219215155614</c:v>
                </c:pt>
                <c:pt idx="151">
                  <c:v>1.3461538461538463</c:v>
                </c:pt>
                <c:pt idx="152">
                  <c:v>1.7543859649122806</c:v>
                </c:pt>
                <c:pt idx="153">
                  <c:v>3.5573122529644268</c:v>
                </c:pt>
                <c:pt idx="154">
                  <c:v>2.5835866261398177</c:v>
                </c:pt>
                <c:pt idx="155">
                  <c:v>2.0689655172413794</c:v>
                </c:pt>
                <c:pt idx="156">
                  <c:v>1.3157894736842106</c:v>
                </c:pt>
                <c:pt idx="157">
                  <c:v>1.9950124688279303</c:v>
                </c:pt>
                <c:pt idx="158">
                  <c:v>1.0498687664041995</c:v>
                </c:pt>
                <c:pt idx="159">
                  <c:v>5.0909090909090908</c:v>
                </c:pt>
                <c:pt idx="160">
                  <c:v>0.41237113402061853</c:v>
                </c:pt>
                <c:pt idx="161">
                  <c:v>0.93567251461988299</c:v>
                </c:pt>
                <c:pt idx="162">
                  <c:v>0.85959885386819479</c:v>
                </c:pt>
                <c:pt idx="163">
                  <c:v>2.347417840375587</c:v>
                </c:pt>
                <c:pt idx="164">
                  <c:v>1.2251148545176109</c:v>
                </c:pt>
                <c:pt idx="165">
                  <c:v>2.4577572964669741</c:v>
                </c:pt>
                <c:pt idx="166">
                  <c:v>1.8255578093306288</c:v>
                </c:pt>
                <c:pt idx="167">
                  <c:v>2.3131672597864767</c:v>
                </c:pt>
                <c:pt idx="168">
                  <c:v>3.0612244897959182</c:v>
                </c:pt>
                <c:pt idx="169">
                  <c:v>0</c:v>
                </c:pt>
                <c:pt idx="170">
                  <c:v>1.3114754098360655</c:v>
                </c:pt>
                <c:pt idx="171">
                  <c:v>4.4198895027624312</c:v>
                </c:pt>
                <c:pt idx="172">
                  <c:v>1.0781671159029649</c:v>
                </c:pt>
                <c:pt idx="173">
                  <c:v>3.6175710594315245</c:v>
                </c:pt>
                <c:pt idx="174">
                  <c:v>3.0927835051546393</c:v>
                </c:pt>
                <c:pt idx="175">
                  <c:v>2.9702970297029703</c:v>
                </c:pt>
                <c:pt idx="176">
                  <c:v>2.9655990510083039</c:v>
                </c:pt>
                <c:pt idx="177">
                  <c:v>1.520912547528517</c:v>
                </c:pt>
                <c:pt idx="178">
                  <c:v>2.4263431542461005</c:v>
                </c:pt>
                <c:pt idx="179">
                  <c:v>3.6166365280289332</c:v>
                </c:pt>
                <c:pt idx="180">
                  <c:v>3.3379694019471486</c:v>
                </c:pt>
                <c:pt idx="181">
                  <c:v>2.1352313167259784</c:v>
                </c:pt>
              </c:numCache>
            </c:numRef>
          </c:yVal>
          <c:bubbleSize>
            <c:numRef>
              <c:f>'Дума партии'!$J$2:$J$184</c:f>
              <c:numCache>
                <c:formatCode>General</c:formatCode>
                <c:ptCount val="182"/>
                <c:pt idx="0">
                  <c:v>2451</c:v>
                </c:pt>
                <c:pt idx="1">
                  <c:v>1779</c:v>
                </c:pt>
                <c:pt idx="2">
                  <c:v>1942</c:v>
                </c:pt>
                <c:pt idx="3">
                  <c:v>2110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422</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2240</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1292</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290</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2226</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3017</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D-36CE-4AFB-9313-7A7B86C5B0D3}"/>
            </c:ext>
          </c:extLst>
        </c:ser>
        <c:ser>
          <c:idx val="0"/>
          <c:order val="14"/>
          <c:tx>
            <c:strRef>
              <c:f>'Дума партии'!$W$1</c:f>
              <c:strCache>
                <c:ptCount val="1"/>
                <c:pt idx="0">
                  <c:v>Недействительных</c:v>
                </c:pt>
              </c:strCache>
            </c:strRef>
          </c:tx>
          <c:spPr>
            <a:noFill/>
            <a:ln w="6350">
              <a:solidFill>
                <a:srgbClr val="000000"/>
              </a:solidFill>
            </a:ln>
          </c:spPr>
          <c:invertIfNegative val="0"/>
          <c:xVal>
            <c:numRef>
              <c:f>'Дума партии'!$O$2:$O$184</c:f>
              <c:numCache>
                <c:formatCode>0.0</c:formatCode>
                <c:ptCount val="182"/>
                <c:pt idx="0">
                  <c:v>65.769073847409217</c:v>
                </c:pt>
                <c:pt idx="1">
                  <c:v>54.693648116919618</c:v>
                </c:pt>
                <c:pt idx="2">
                  <c:v>56.333676622039135</c:v>
                </c:pt>
                <c:pt idx="3">
                  <c:v>56.919431279620852</c:v>
                </c:pt>
                <c:pt idx="4">
                  <c:v>49.812130971551262</c:v>
                </c:pt>
                <c:pt idx="5">
                  <c:v>52.610030706243606</c:v>
                </c:pt>
                <c:pt idx="6">
                  <c:v>62.290927521540802</c:v>
                </c:pt>
                <c:pt idx="7">
                  <c:v>71.452328159645234</c:v>
                </c:pt>
                <c:pt idx="8">
                  <c:v>73.707753479125245</c:v>
                </c:pt>
                <c:pt idx="9">
                  <c:v>38.504037399065027</c:v>
                </c:pt>
                <c:pt idx="10">
                  <c:v>26.023778071334213</c:v>
                </c:pt>
                <c:pt idx="11">
                  <c:v>73.80952380952381</c:v>
                </c:pt>
                <c:pt idx="12">
                  <c:v>52.41128298453139</c:v>
                </c:pt>
                <c:pt idx="13">
                  <c:v>35.041666666666664</c:v>
                </c:pt>
                <c:pt idx="14">
                  <c:v>48.479868529170091</c:v>
                </c:pt>
                <c:pt idx="15">
                  <c:v>30.726256983240223</c:v>
                </c:pt>
                <c:pt idx="16">
                  <c:v>49.526066350710899</c:v>
                </c:pt>
                <c:pt idx="17">
                  <c:v>34.267413931144915</c:v>
                </c:pt>
                <c:pt idx="18">
                  <c:v>48.776223776223773</c:v>
                </c:pt>
                <c:pt idx="19">
                  <c:v>36.920222634508349</c:v>
                </c:pt>
                <c:pt idx="20">
                  <c:v>26.006528835690968</c:v>
                </c:pt>
                <c:pt idx="21">
                  <c:v>47.85954785954786</c:v>
                </c:pt>
                <c:pt idx="22">
                  <c:v>33.182844243792324</c:v>
                </c:pt>
                <c:pt idx="23">
                  <c:v>38.321342925659472</c:v>
                </c:pt>
                <c:pt idx="24">
                  <c:v>32.349052446011456</c:v>
                </c:pt>
                <c:pt idx="25">
                  <c:v>38.541666666666664</c:v>
                </c:pt>
                <c:pt idx="26">
                  <c:v>54.414682539682538</c:v>
                </c:pt>
                <c:pt idx="27">
                  <c:v>44.678111587982833</c:v>
                </c:pt>
                <c:pt idx="28">
                  <c:v>48.960216998191683</c:v>
                </c:pt>
                <c:pt idx="29">
                  <c:v>36.23435722411832</c:v>
                </c:pt>
                <c:pt idx="30">
                  <c:v>41.570026761819804</c:v>
                </c:pt>
                <c:pt idx="31">
                  <c:v>30.401785714285715</c:v>
                </c:pt>
                <c:pt idx="32">
                  <c:v>40.432098765432102</c:v>
                </c:pt>
                <c:pt idx="33">
                  <c:v>95.27145359019265</c:v>
                </c:pt>
                <c:pt idx="34">
                  <c:v>43.419689119170982</c:v>
                </c:pt>
                <c:pt idx="35">
                  <c:v>61.180952380952384</c:v>
                </c:pt>
                <c:pt idx="36">
                  <c:v>82.278481012658233</c:v>
                </c:pt>
                <c:pt idx="37">
                  <c:v>37.891440501043839</c:v>
                </c:pt>
                <c:pt idx="38">
                  <c:v>40.373395565927652</c:v>
                </c:pt>
                <c:pt idx="39">
                  <c:v>40.014164305949009</c:v>
                </c:pt>
                <c:pt idx="40">
                  <c:v>35.019646365422396</c:v>
                </c:pt>
                <c:pt idx="41">
                  <c:v>32.91592128801431</c:v>
                </c:pt>
                <c:pt idx="42">
                  <c:v>34.583952451708768</c:v>
                </c:pt>
                <c:pt idx="43">
                  <c:v>34.065460809646858</c:v>
                </c:pt>
                <c:pt idx="44">
                  <c:v>66.542133665421332</c:v>
                </c:pt>
                <c:pt idx="45">
                  <c:v>82.972136222910223</c:v>
                </c:pt>
                <c:pt idx="46">
                  <c:v>64.759725400457668</c:v>
                </c:pt>
                <c:pt idx="47">
                  <c:v>40.809968847352025</c:v>
                </c:pt>
                <c:pt idx="48">
                  <c:v>45.801033591731269</c:v>
                </c:pt>
                <c:pt idx="49">
                  <c:v>54.984354045596781</c:v>
                </c:pt>
                <c:pt idx="50">
                  <c:v>40.988835725677831</c:v>
                </c:pt>
                <c:pt idx="51">
                  <c:v>37.672465506898618</c:v>
                </c:pt>
                <c:pt idx="52">
                  <c:v>42.771804062126641</c:v>
                </c:pt>
                <c:pt idx="53">
                  <c:v>78.285714285714292</c:v>
                </c:pt>
                <c:pt idx="54">
                  <c:v>35.802469135802468</c:v>
                </c:pt>
                <c:pt idx="55">
                  <c:v>34.591626630061768</c:v>
                </c:pt>
                <c:pt idx="56">
                  <c:v>43.99198931909212</c:v>
                </c:pt>
                <c:pt idx="57">
                  <c:v>35.998498498498499</c:v>
                </c:pt>
                <c:pt idx="58">
                  <c:v>28.264758497316638</c:v>
                </c:pt>
                <c:pt idx="59">
                  <c:v>41.413753361505954</c:v>
                </c:pt>
                <c:pt idx="60">
                  <c:v>38.279830405814657</c:v>
                </c:pt>
                <c:pt idx="61">
                  <c:v>44.122298365840798</c:v>
                </c:pt>
                <c:pt idx="62">
                  <c:v>28.415841584158414</c:v>
                </c:pt>
                <c:pt idx="63">
                  <c:v>28.213166144200628</c:v>
                </c:pt>
                <c:pt idx="64">
                  <c:v>31.632653061224488</c:v>
                </c:pt>
                <c:pt idx="65">
                  <c:v>57.634902411021812</c:v>
                </c:pt>
                <c:pt idx="66">
                  <c:v>65.963431786216603</c:v>
                </c:pt>
                <c:pt idx="67">
                  <c:v>59.171597633136095</c:v>
                </c:pt>
                <c:pt idx="68">
                  <c:v>46.972972972972975</c:v>
                </c:pt>
                <c:pt idx="69">
                  <c:v>52.910330361824855</c:v>
                </c:pt>
                <c:pt idx="70">
                  <c:v>36.995153473344104</c:v>
                </c:pt>
                <c:pt idx="71">
                  <c:v>41.978609625668447</c:v>
                </c:pt>
                <c:pt idx="72">
                  <c:v>40.463576158940398</c:v>
                </c:pt>
                <c:pt idx="73">
                  <c:v>22.40990990990991</c:v>
                </c:pt>
                <c:pt idx="74">
                  <c:v>35.343511450381676</c:v>
                </c:pt>
                <c:pt idx="75">
                  <c:v>51.278195488721806</c:v>
                </c:pt>
                <c:pt idx="76">
                  <c:v>55.201177625122668</c:v>
                </c:pt>
                <c:pt idx="77">
                  <c:v>57.815126050420169</c:v>
                </c:pt>
                <c:pt idx="78">
                  <c:v>51.873767258382642</c:v>
                </c:pt>
                <c:pt idx="79">
                  <c:v>42.535211267605632</c:v>
                </c:pt>
                <c:pt idx="80">
                  <c:v>51.540983606557376</c:v>
                </c:pt>
                <c:pt idx="81">
                  <c:v>40.625</c:v>
                </c:pt>
                <c:pt idx="82">
                  <c:v>47.904811174340402</c:v>
                </c:pt>
                <c:pt idx="83">
                  <c:v>44.525904203323556</c:v>
                </c:pt>
                <c:pt idx="84">
                  <c:v>40.621336459554513</c:v>
                </c:pt>
                <c:pt idx="85">
                  <c:v>40.938416422287389</c:v>
                </c:pt>
                <c:pt idx="86">
                  <c:v>46.500981033355131</c:v>
                </c:pt>
                <c:pt idx="87">
                  <c:v>35.444444444444443</c:v>
                </c:pt>
                <c:pt idx="88">
                  <c:v>38.161993769470406</c:v>
                </c:pt>
                <c:pt idx="89">
                  <c:v>43.880142204164549</c:v>
                </c:pt>
                <c:pt idx="90">
                  <c:v>49.60753532182104</c:v>
                </c:pt>
                <c:pt idx="91">
                  <c:v>51.973284760170003</c:v>
                </c:pt>
                <c:pt idx="92">
                  <c:v>56.155015197568389</c:v>
                </c:pt>
                <c:pt idx="93">
                  <c:v>63.973344439816742</c:v>
                </c:pt>
                <c:pt idx="94">
                  <c:v>66.090611863615138</c:v>
                </c:pt>
                <c:pt idx="95">
                  <c:v>65.528455284552848</c:v>
                </c:pt>
                <c:pt idx="96">
                  <c:v>59.78142076502732</c:v>
                </c:pt>
                <c:pt idx="97">
                  <c:v>47.716799329702553</c:v>
                </c:pt>
                <c:pt idx="98">
                  <c:v>53.094462540716613</c:v>
                </c:pt>
                <c:pt idx="99">
                  <c:v>31.606805293005671</c:v>
                </c:pt>
                <c:pt idx="100">
                  <c:v>36.172295643661279</c:v>
                </c:pt>
                <c:pt idx="101">
                  <c:v>57.703081232492998</c:v>
                </c:pt>
                <c:pt idx="102">
                  <c:v>57.186234817813762</c:v>
                </c:pt>
                <c:pt idx="103">
                  <c:v>100</c:v>
                </c:pt>
                <c:pt idx="104">
                  <c:v>90.865384615384613</c:v>
                </c:pt>
                <c:pt idx="105">
                  <c:v>45.725760183591511</c:v>
                </c:pt>
                <c:pt idx="106">
                  <c:v>38.141592920353979</c:v>
                </c:pt>
                <c:pt idx="107">
                  <c:v>35.991379310344826</c:v>
                </c:pt>
                <c:pt idx="108">
                  <c:v>40.813135261923378</c:v>
                </c:pt>
                <c:pt idx="109">
                  <c:v>37.786561264822133</c:v>
                </c:pt>
                <c:pt idx="110">
                  <c:v>42.659279778393355</c:v>
                </c:pt>
                <c:pt idx="111">
                  <c:v>39.198131568703779</c:v>
                </c:pt>
                <c:pt idx="112">
                  <c:v>39.279869067103107</c:v>
                </c:pt>
                <c:pt idx="113">
                  <c:v>42.108890420399725</c:v>
                </c:pt>
                <c:pt idx="114">
                  <c:v>37.489609310058185</c:v>
                </c:pt>
                <c:pt idx="115">
                  <c:v>35.413899955732624</c:v>
                </c:pt>
                <c:pt idx="116">
                  <c:v>48.197955890263586</c:v>
                </c:pt>
                <c:pt idx="117">
                  <c:v>36.372360844529751</c:v>
                </c:pt>
                <c:pt idx="118">
                  <c:v>0</c:v>
                </c:pt>
                <c:pt idx="119">
                  <c:v>41.97530864197531</c:v>
                </c:pt>
                <c:pt idx="120">
                  <c:v>32.253711201079625</c:v>
                </c:pt>
                <c:pt idx="121">
                  <c:v>51.320918146383718</c:v>
                </c:pt>
                <c:pt idx="122">
                  <c:v>33.550325488232346</c:v>
                </c:pt>
                <c:pt idx="123">
                  <c:v>35.837864557587743</c:v>
                </c:pt>
                <c:pt idx="124">
                  <c:v>43.203883495145632</c:v>
                </c:pt>
                <c:pt idx="125">
                  <c:v>40.560640732265448</c:v>
                </c:pt>
                <c:pt idx="126">
                  <c:v>36.066288704753596</c:v>
                </c:pt>
                <c:pt idx="127">
                  <c:v>34.057301293900181</c:v>
                </c:pt>
                <c:pt idx="128">
                  <c:v>36.285858077503775</c:v>
                </c:pt>
                <c:pt idx="129">
                  <c:v>42.036753445635526</c:v>
                </c:pt>
                <c:pt idx="130">
                  <c:v>70.199587061252586</c:v>
                </c:pt>
                <c:pt idx="131">
                  <c:v>31.971465629053178</c:v>
                </c:pt>
                <c:pt idx="132">
                  <c:v>35.394021739130437</c:v>
                </c:pt>
                <c:pt idx="133">
                  <c:v>35.140700068634182</c:v>
                </c:pt>
                <c:pt idx="134">
                  <c:v>29.351351351351351</c:v>
                </c:pt>
                <c:pt idx="135">
                  <c:v>42.471590909090907</c:v>
                </c:pt>
                <c:pt idx="136">
                  <c:v>55.265700483091784</c:v>
                </c:pt>
                <c:pt idx="137">
                  <c:v>51.10526315789474</c:v>
                </c:pt>
                <c:pt idx="138">
                  <c:v>36.855895196506552</c:v>
                </c:pt>
                <c:pt idx="139">
                  <c:v>34.820209376422397</c:v>
                </c:pt>
                <c:pt idx="140">
                  <c:v>69.944444444444443</c:v>
                </c:pt>
                <c:pt idx="141">
                  <c:v>33.010156971375807</c:v>
                </c:pt>
                <c:pt idx="142">
                  <c:v>40.26290165530672</c:v>
                </c:pt>
                <c:pt idx="143">
                  <c:v>38.359412043622569</c:v>
                </c:pt>
                <c:pt idx="144">
                  <c:v>30.732484076433121</c:v>
                </c:pt>
                <c:pt idx="145">
                  <c:v>37.028301886792455</c:v>
                </c:pt>
                <c:pt idx="146">
                  <c:v>35.288367546432063</c:v>
                </c:pt>
                <c:pt idx="147">
                  <c:v>34.275248560962844</c:v>
                </c:pt>
                <c:pt idx="148">
                  <c:v>38.125802310654684</c:v>
                </c:pt>
                <c:pt idx="149">
                  <c:v>40.745732255166217</c:v>
                </c:pt>
                <c:pt idx="150">
                  <c:v>27.971233913701742</c:v>
                </c:pt>
                <c:pt idx="151">
                  <c:v>28.618602091359385</c:v>
                </c:pt>
                <c:pt idx="152">
                  <c:v>32.336255801959773</c:v>
                </c:pt>
                <c:pt idx="153">
                  <c:v>24.444444444444443</c:v>
                </c:pt>
                <c:pt idx="154">
                  <c:v>28.796498905908095</c:v>
                </c:pt>
                <c:pt idx="155">
                  <c:v>28.420227361818895</c:v>
                </c:pt>
                <c:pt idx="156">
                  <c:v>33.021390374331553</c:v>
                </c:pt>
                <c:pt idx="157">
                  <c:v>53.324468085106382</c:v>
                </c:pt>
                <c:pt idx="158">
                  <c:v>48.549810844892811</c:v>
                </c:pt>
                <c:pt idx="159">
                  <c:v>32.177931831311383</c:v>
                </c:pt>
                <c:pt idx="160">
                  <c:v>44.659300184162063</c:v>
                </c:pt>
                <c:pt idx="161">
                  <c:v>28.372555518727211</c:v>
                </c:pt>
                <c:pt idx="162">
                  <c:v>26.083707025411062</c:v>
                </c:pt>
                <c:pt idx="163">
                  <c:v>27.099236641221374</c:v>
                </c:pt>
                <c:pt idx="164">
                  <c:v>29.520795660036168</c:v>
                </c:pt>
                <c:pt idx="165">
                  <c:v>26.91194708557255</c:v>
                </c:pt>
                <c:pt idx="166">
                  <c:v>22.96983758700696</c:v>
                </c:pt>
                <c:pt idx="167">
                  <c:v>23.950826621449767</c:v>
                </c:pt>
                <c:pt idx="168">
                  <c:v>26.504394861392832</c:v>
                </c:pt>
                <c:pt idx="169">
                  <c:v>22.563417890520693</c:v>
                </c:pt>
                <c:pt idx="170">
                  <c:v>22.906496432594817</c:v>
                </c:pt>
                <c:pt idx="171">
                  <c:v>42.521534847298355</c:v>
                </c:pt>
                <c:pt idx="172">
                  <c:v>34.256694367497694</c:v>
                </c:pt>
                <c:pt idx="173">
                  <c:v>31.412337662337663</c:v>
                </c:pt>
                <c:pt idx="174">
                  <c:v>37.596899224806201</c:v>
                </c:pt>
                <c:pt idx="175">
                  <c:v>35.335276967930028</c:v>
                </c:pt>
                <c:pt idx="176">
                  <c:v>49.561146869514339</c:v>
                </c:pt>
                <c:pt idx="177">
                  <c:v>64.645637034002462</c:v>
                </c:pt>
                <c:pt idx="178">
                  <c:v>31.949058693244741</c:v>
                </c:pt>
                <c:pt idx="179">
                  <c:v>42.149390243902438</c:v>
                </c:pt>
                <c:pt idx="180">
                  <c:v>43.365500603136311</c:v>
                </c:pt>
                <c:pt idx="181">
                  <c:v>26.360225140712945</c:v>
                </c:pt>
              </c:numCache>
            </c:numRef>
          </c:xVal>
          <c:yVal>
            <c:numRef>
              <c:f>'Дума партии'!$W$2:$W$184</c:f>
              <c:numCache>
                <c:formatCode>0.0</c:formatCode>
                <c:ptCount val="182"/>
                <c:pt idx="0">
                  <c:v>1.3027295285359801</c:v>
                </c:pt>
                <c:pt idx="1">
                  <c:v>1.3388259526261586</c:v>
                </c:pt>
                <c:pt idx="2">
                  <c:v>1.555352241537054</c:v>
                </c:pt>
                <c:pt idx="3">
                  <c:v>2.1720969089390141</c:v>
                </c:pt>
                <c:pt idx="4">
                  <c:v>2.5917926565874732</c:v>
                </c:pt>
                <c:pt idx="5">
                  <c:v>1.4691478942213516</c:v>
                </c:pt>
                <c:pt idx="6">
                  <c:v>1.8416206261510129</c:v>
                </c:pt>
                <c:pt idx="7">
                  <c:v>1.4855355746677092</c:v>
                </c:pt>
                <c:pt idx="8">
                  <c:v>1.7532029669588671</c:v>
                </c:pt>
                <c:pt idx="9">
                  <c:v>4.4593088071348941</c:v>
                </c:pt>
                <c:pt idx="10">
                  <c:v>3.5532994923857868</c:v>
                </c:pt>
                <c:pt idx="11">
                  <c:v>1.5360983102918586</c:v>
                </c:pt>
                <c:pt idx="12">
                  <c:v>1.7361111111111112</c:v>
                </c:pt>
                <c:pt idx="13">
                  <c:v>2.3781212841854935</c:v>
                </c:pt>
                <c:pt idx="14">
                  <c:v>2.5423728813559321</c:v>
                </c:pt>
                <c:pt idx="15">
                  <c:v>2.8099173553719008</c:v>
                </c:pt>
                <c:pt idx="16">
                  <c:v>0</c:v>
                </c:pt>
                <c:pt idx="17">
                  <c:v>2.3696682464454977</c:v>
                </c:pt>
                <c:pt idx="18">
                  <c:v>3.225806451612903</c:v>
                </c:pt>
                <c:pt idx="19">
                  <c:v>2.620967741935484</c:v>
                </c:pt>
                <c:pt idx="20">
                  <c:v>2.0920502092050208</c:v>
                </c:pt>
                <c:pt idx="21">
                  <c:v>0.50251256281407031</c:v>
                </c:pt>
                <c:pt idx="22">
                  <c:v>1.771117166212534</c:v>
                </c:pt>
                <c:pt idx="23">
                  <c:v>3.7546933667083855</c:v>
                </c:pt>
                <c:pt idx="24">
                  <c:v>3.0095759233926129</c:v>
                </c:pt>
                <c:pt idx="25">
                  <c:v>3.5626535626535625</c:v>
                </c:pt>
                <c:pt idx="26">
                  <c:v>3.00820419325433</c:v>
                </c:pt>
                <c:pt idx="27">
                  <c:v>2.9154518950437316</c:v>
                </c:pt>
                <c:pt idx="28">
                  <c:v>3.6044362292051755</c:v>
                </c:pt>
                <c:pt idx="29">
                  <c:v>3.9246467817896389</c:v>
                </c:pt>
                <c:pt idx="30">
                  <c:v>3.648068669527897</c:v>
                </c:pt>
                <c:pt idx="31">
                  <c:v>3.3773861967694567</c:v>
                </c:pt>
                <c:pt idx="32">
                  <c:v>1.717557251908397</c:v>
                </c:pt>
                <c:pt idx="33">
                  <c:v>3.4990791896869244</c:v>
                </c:pt>
                <c:pt idx="34">
                  <c:v>0.71599045346062051</c:v>
                </c:pt>
                <c:pt idx="35">
                  <c:v>2.6151930261519301</c:v>
                </c:pt>
                <c:pt idx="36">
                  <c:v>0</c:v>
                </c:pt>
                <c:pt idx="37">
                  <c:v>1.5151515151515151</c:v>
                </c:pt>
                <c:pt idx="38">
                  <c:v>4.3352601156069364</c:v>
                </c:pt>
                <c:pt idx="39">
                  <c:v>1.2389380530973451</c:v>
                </c:pt>
                <c:pt idx="40">
                  <c:v>10.157367668097281</c:v>
                </c:pt>
                <c:pt idx="41">
                  <c:v>10.326086956521738</c:v>
                </c:pt>
                <c:pt idx="42">
                  <c:v>3.1149301825993554</c:v>
                </c:pt>
                <c:pt idx="43">
                  <c:v>4.298356510745891</c:v>
                </c:pt>
                <c:pt idx="44">
                  <c:v>2.4344569288389515</c:v>
                </c:pt>
                <c:pt idx="45">
                  <c:v>1.1225444340505144</c:v>
                </c:pt>
                <c:pt idx="46">
                  <c:v>0</c:v>
                </c:pt>
                <c:pt idx="47">
                  <c:v>3.3587786259541983</c:v>
                </c:pt>
                <c:pt idx="48">
                  <c:v>1.5514809590973202</c:v>
                </c:pt>
                <c:pt idx="49">
                  <c:v>3.1275720164609053</c:v>
                </c:pt>
                <c:pt idx="50">
                  <c:v>2.4643320363164722</c:v>
                </c:pt>
                <c:pt idx="51">
                  <c:v>2.7070063694267517</c:v>
                </c:pt>
                <c:pt idx="52">
                  <c:v>3.6312849162011172</c:v>
                </c:pt>
                <c:pt idx="53">
                  <c:v>1.4598540145985401</c:v>
                </c:pt>
                <c:pt idx="54">
                  <c:v>3.2915360501567399</c:v>
                </c:pt>
                <c:pt idx="55">
                  <c:v>2.1825396825396823</c:v>
                </c:pt>
                <c:pt idx="56">
                  <c:v>2.7314112291350532</c:v>
                </c:pt>
                <c:pt idx="57">
                  <c:v>2.9197080291970803</c:v>
                </c:pt>
                <c:pt idx="58">
                  <c:v>1.3924050632911393</c:v>
                </c:pt>
                <c:pt idx="59">
                  <c:v>5.1948051948051948</c:v>
                </c:pt>
                <c:pt idx="60">
                  <c:v>2.2151898734177213</c:v>
                </c:pt>
                <c:pt idx="61">
                  <c:v>2.031063321385902</c:v>
                </c:pt>
                <c:pt idx="62">
                  <c:v>1.7421602787456445</c:v>
                </c:pt>
                <c:pt idx="63">
                  <c:v>0.55555555555555558</c:v>
                </c:pt>
                <c:pt idx="64">
                  <c:v>5.161290322580645</c:v>
                </c:pt>
                <c:pt idx="65">
                  <c:v>2.7888446215139444</c:v>
                </c:pt>
                <c:pt idx="66">
                  <c:v>3.624733475479744</c:v>
                </c:pt>
                <c:pt idx="67">
                  <c:v>2.25</c:v>
                </c:pt>
                <c:pt idx="68">
                  <c:v>4.9653579676674369</c:v>
                </c:pt>
                <c:pt idx="69">
                  <c:v>2.8741328047571852</c:v>
                </c:pt>
                <c:pt idx="70">
                  <c:v>5.0218340611353716</c:v>
                </c:pt>
                <c:pt idx="71">
                  <c:v>2.5531914893617023</c:v>
                </c:pt>
                <c:pt idx="72">
                  <c:v>6.6445182724252492</c:v>
                </c:pt>
                <c:pt idx="73">
                  <c:v>2.0100502512562812</c:v>
                </c:pt>
                <c:pt idx="74">
                  <c:v>1.9438444924406046</c:v>
                </c:pt>
                <c:pt idx="75">
                  <c:v>3.225806451612903</c:v>
                </c:pt>
                <c:pt idx="76">
                  <c:v>2.580071174377224</c:v>
                </c:pt>
                <c:pt idx="77">
                  <c:v>2.0833333333333335</c:v>
                </c:pt>
                <c:pt idx="78">
                  <c:v>2.9187817258883251</c:v>
                </c:pt>
                <c:pt idx="79">
                  <c:v>1.9867549668874172</c:v>
                </c:pt>
                <c:pt idx="80">
                  <c:v>3.9440203562340965</c:v>
                </c:pt>
                <c:pt idx="81">
                  <c:v>3.8461538461538463</c:v>
                </c:pt>
                <c:pt idx="82">
                  <c:v>3.9087947882736156</c:v>
                </c:pt>
                <c:pt idx="83">
                  <c:v>9.0010976948408334</c:v>
                </c:pt>
                <c:pt idx="84">
                  <c:v>4.329004329004329</c:v>
                </c:pt>
                <c:pt idx="85">
                  <c:v>1.2893982808022924</c:v>
                </c:pt>
                <c:pt idx="86">
                  <c:v>3.938115330520394</c:v>
                </c:pt>
                <c:pt idx="87">
                  <c:v>2.8213166144200628</c:v>
                </c:pt>
                <c:pt idx="88">
                  <c:v>2.4745269286754001</c:v>
                </c:pt>
                <c:pt idx="89">
                  <c:v>2.199074074074074</c:v>
                </c:pt>
                <c:pt idx="90">
                  <c:v>1.8987341772151898</c:v>
                </c:pt>
                <c:pt idx="91">
                  <c:v>5.0233644859813085</c:v>
                </c:pt>
                <c:pt idx="92">
                  <c:v>1.2178619756427604</c:v>
                </c:pt>
                <c:pt idx="93">
                  <c:v>3.0598958333333335</c:v>
                </c:pt>
                <c:pt idx="94">
                  <c:v>0.77848549186128801</c:v>
                </c:pt>
                <c:pt idx="95">
                  <c:v>3.4013605442176869</c:v>
                </c:pt>
                <c:pt idx="96">
                  <c:v>0.91407678244972579</c:v>
                </c:pt>
                <c:pt idx="97">
                  <c:v>23.617208077260756</c:v>
                </c:pt>
                <c:pt idx="98">
                  <c:v>3.0674846625766872</c:v>
                </c:pt>
                <c:pt idx="99">
                  <c:v>4.4258373205741623</c:v>
                </c:pt>
                <c:pt idx="100">
                  <c:v>2.8416779431664412</c:v>
                </c:pt>
                <c:pt idx="101">
                  <c:v>11.147540983606557</c:v>
                </c:pt>
                <c:pt idx="102">
                  <c:v>6.7256637168141591</c:v>
                </c:pt>
                <c:pt idx="103">
                  <c:v>0</c:v>
                </c:pt>
                <c:pt idx="104">
                  <c:v>1.075268817204301</c:v>
                </c:pt>
                <c:pt idx="105">
                  <c:v>1.5056461731493098</c:v>
                </c:pt>
                <c:pt idx="106">
                  <c:v>3.0162412993039442</c:v>
                </c:pt>
                <c:pt idx="107">
                  <c:v>2.6347305389221556</c:v>
                </c:pt>
                <c:pt idx="108">
                  <c:v>3.4951456310679609</c:v>
                </c:pt>
                <c:pt idx="109">
                  <c:v>2.3012552301255229</c:v>
                </c:pt>
                <c:pt idx="110">
                  <c:v>1.6150740242261103</c:v>
                </c:pt>
                <c:pt idx="111">
                  <c:v>1.4507772020725389</c:v>
                </c:pt>
                <c:pt idx="112">
                  <c:v>2.5</c:v>
                </c:pt>
                <c:pt idx="113">
                  <c:v>1.6366612111292962</c:v>
                </c:pt>
                <c:pt idx="114">
                  <c:v>3.1180400890868598</c:v>
                </c:pt>
                <c:pt idx="115">
                  <c:v>1.7521902377972465</c:v>
                </c:pt>
                <c:pt idx="116">
                  <c:v>3.8159371492704826</c:v>
                </c:pt>
                <c:pt idx="117">
                  <c:v>3.0343007915567282</c:v>
                </c:pt>
                <c:pt idx="118">
                  <c:v>0</c:v>
                </c:pt>
                <c:pt idx="119">
                  <c:v>5.0049067713444551</c:v>
                </c:pt>
                <c:pt idx="120">
                  <c:v>4.0446304044630406</c:v>
                </c:pt>
                <c:pt idx="121">
                  <c:v>2.6160337552742616</c:v>
                </c:pt>
                <c:pt idx="122">
                  <c:v>2.5373134328358211</c:v>
                </c:pt>
                <c:pt idx="123">
                  <c:v>3.1944444444444446</c:v>
                </c:pt>
                <c:pt idx="124">
                  <c:v>2.3399014778325125</c:v>
                </c:pt>
                <c:pt idx="125">
                  <c:v>6.7796610169491522</c:v>
                </c:pt>
                <c:pt idx="126">
                  <c:v>2.2974607013301087</c:v>
                </c:pt>
                <c:pt idx="127">
                  <c:v>4.7489823609226596</c:v>
                </c:pt>
                <c:pt idx="128">
                  <c:v>9.8474341192787787</c:v>
                </c:pt>
                <c:pt idx="129">
                  <c:v>1.639344262295082</c:v>
                </c:pt>
                <c:pt idx="130">
                  <c:v>2.1077283372365341</c:v>
                </c:pt>
                <c:pt idx="131">
                  <c:v>2.2312373225152129</c:v>
                </c:pt>
                <c:pt idx="132">
                  <c:v>1.9193857965451055</c:v>
                </c:pt>
                <c:pt idx="133">
                  <c:v>1.7578125</c:v>
                </c:pt>
                <c:pt idx="134">
                  <c:v>0.92081031307550643</c:v>
                </c:pt>
                <c:pt idx="135">
                  <c:v>2.0066889632107023</c:v>
                </c:pt>
                <c:pt idx="136">
                  <c:v>1.9230769230769231</c:v>
                </c:pt>
                <c:pt idx="137">
                  <c:v>1.2371134020618557</c:v>
                </c:pt>
                <c:pt idx="138">
                  <c:v>3.4825870646766171</c:v>
                </c:pt>
                <c:pt idx="139">
                  <c:v>2.7450980392156863</c:v>
                </c:pt>
                <c:pt idx="140">
                  <c:v>13.264495631453535</c:v>
                </c:pt>
                <c:pt idx="141">
                  <c:v>2.7972027972027971</c:v>
                </c:pt>
                <c:pt idx="142">
                  <c:v>2.7261462205700124</c:v>
                </c:pt>
                <c:pt idx="143">
                  <c:v>2.4739583333333335</c:v>
                </c:pt>
                <c:pt idx="144">
                  <c:v>2.3316062176165802</c:v>
                </c:pt>
                <c:pt idx="145">
                  <c:v>2.9850746268656718</c:v>
                </c:pt>
                <c:pt idx="146">
                  <c:v>34.34903047091413</c:v>
                </c:pt>
                <c:pt idx="147">
                  <c:v>1.6793893129770991</c:v>
                </c:pt>
                <c:pt idx="148">
                  <c:v>2.3702031602708802</c:v>
                </c:pt>
                <c:pt idx="149">
                  <c:v>2.9867256637168142</c:v>
                </c:pt>
                <c:pt idx="150">
                  <c:v>1.6238159675236807</c:v>
                </c:pt>
                <c:pt idx="151">
                  <c:v>2.5</c:v>
                </c:pt>
                <c:pt idx="152">
                  <c:v>1.4354066985645932</c:v>
                </c:pt>
                <c:pt idx="153">
                  <c:v>2.5691699604743081</c:v>
                </c:pt>
                <c:pt idx="154">
                  <c:v>1.8237082066869301</c:v>
                </c:pt>
                <c:pt idx="155">
                  <c:v>2.3448275862068964</c:v>
                </c:pt>
                <c:pt idx="156">
                  <c:v>40.384615384615387</c:v>
                </c:pt>
                <c:pt idx="157">
                  <c:v>1.745635910224439</c:v>
                </c:pt>
                <c:pt idx="158">
                  <c:v>3.1496062992125986</c:v>
                </c:pt>
                <c:pt idx="159">
                  <c:v>2.7272727272727271</c:v>
                </c:pt>
                <c:pt idx="160">
                  <c:v>4.536082474226804</c:v>
                </c:pt>
                <c:pt idx="161">
                  <c:v>1.0526315789473684</c:v>
                </c:pt>
                <c:pt idx="162">
                  <c:v>0.85959885386819479</c:v>
                </c:pt>
                <c:pt idx="163">
                  <c:v>1.5649452269170578</c:v>
                </c:pt>
                <c:pt idx="164">
                  <c:v>1.2251148545176109</c:v>
                </c:pt>
                <c:pt idx="165">
                  <c:v>3.0721966205837172</c:v>
                </c:pt>
                <c:pt idx="166">
                  <c:v>1.8255578093306288</c:v>
                </c:pt>
                <c:pt idx="167">
                  <c:v>1.7793594306049823</c:v>
                </c:pt>
                <c:pt idx="168">
                  <c:v>4.2091836734693882</c:v>
                </c:pt>
                <c:pt idx="169">
                  <c:v>1.2422360248447204</c:v>
                </c:pt>
                <c:pt idx="170">
                  <c:v>3.278688524590164</c:v>
                </c:pt>
                <c:pt idx="171">
                  <c:v>4.4198895027624312</c:v>
                </c:pt>
                <c:pt idx="172">
                  <c:v>1.8867924528301887</c:v>
                </c:pt>
                <c:pt idx="173">
                  <c:v>2.0671834625322996</c:v>
                </c:pt>
                <c:pt idx="174">
                  <c:v>1.8041237113402062</c:v>
                </c:pt>
                <c:pt idx="175">
                  <c:v>3.7953795379537953</c:v>
                </c:pt>
                <c:pt idx="176">
                  <c:v>1.3048635824436536</c:v>
                </c:pt>
                <c:pt idx="177">
                  <c:v>0.69708491761723701</c:v>
                </c:pt>
                <c:pt idx="178">
                  <c:v>1.9064124783362217</c:v>
                </c:pt>
                <c:pt idx="179">
                  <c:v>3.2549728752260396</c:v>
                </c:pt>
                <c:pt idx="180">
                  <c:v>2.642559109874826</c:v>
                </c:pt>
                <c:pt idx="181">
                  <c:v>0.71174377224199292</c:v>
                </c:pt>
              </c:numCache>
            </c:numRef>
          </c:yVal>
          <c:bubbleSize>
            <c:numRef>
              <c:f>'Дума партии'!$J$2:$J$184</c:f>
              <c:numCache>
                <c:formatCode>General</c:formatCode>
                <c:ptCount val="182"/>
                <c:pt idx="0">
                  <c:v>2451</c:v>
                </c:pt>
                <c:pt idx="1">
                  <c:v>1779</c:v>
                </c:pt>
                <c:pt idx="2">
                  <c:v>1942</c:v>
                </c:pt>
                <c:pt idx="3">
                  <c:v>2110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422</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2240</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1292</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290</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2226</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3017</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0-DA14-4CA3-A295-ADA8A2EA9FFE}"/>
            </c:ext>
          </c:extLst>
        </c:ser>
        <c:ser>
          <c:idx val="1"/>
          <c:order val="15"/>
          <c:tx>
            <c:strRef>
              <c:f>'Дума партии'!$U$1</c:f>
              <c:strCache>
                <c:ptCount val="1"/>
                <c:pt idx="0">
                  <c:v>Надомка</c:v>
                </c:pt>
              </c:strCache>
            </c:strRef>
          </c:tx>
          <c:spPr>
            <a:noFill/>
            <a:ln w="6350" cmpd="sng">
              <a:solidFill>
                <a:srgbClr val="000000"/>
              </a:solidFill>
              <a:prstDash val="sysDot"/>
            </a:ln>
          </c:spPr>
          <c:invertIfNegative val="0"/>
          <c:xVal>
            <c:numRef>
              <c:f>'Дума партии'!$O$2:$O$184</c:f>
              <c:numCache>
                <c:formatCode>0.0</c:formatCode>
                <c:ptCount val="182"/>
                <c:pt idx="0">
                  <c:v>65.769073847409217</c:v>
                </c:pt>
                <c:pt idx="1">
                  <c:v>54.693648116919618</c:v>
                </c:pt>
                <c:pt idx="2">
                  <c:v>56.333676622039135</c:v>
                </c:pt>
                <c:pt idx="3">
                  <c:v>56.919431279620852</c:v>
                </c:pt>
                <c:pt idx="4">
                  <c:v>49.812130971551262</c:v>
                </c:pt>
                <c:pt idx="5">
                  <c:v>52.610030706243606</c:v>
                </c:pt>
                <c:pt idx="6">
                  <c:v>62.290927521540802</c:v>
                </c:pt>
                <c:pt idx="7">
                  <c:v>71.452328159645234</c:v>
                </c:pt>
                <c:pt idx="8">
                  <c:v>73.707753479125245</c:v>
                </c:pt>
                <c:pt idx="9">
                  <c:v>38.504037399065027</c:v>
                </c:pt>
                <c:pt idx="10">
                  <c:v>26.023778071334213</c:v>
                </c:pt>
                <c:pt idx="11">
                  <c:v>73.80952380952381</c:v>
                </c:pt>
                <c:pt idx="12">
                  <c:v>52.41128298453139</c:v>
                </c:pt>
                <c:pt idx="13">
                  <c:v>35.041666666666664</c:v>
                </c:pt>
                <c:pt idx="14">
                  <c:v>48.479868529170091</c:v>
                </c:pt>
                <c:pt idx="15">
                  <c:v>30.726256983240223</c:v>
                </c:pt>
                <c:pt idx="16">
                  <c:v>49.526066350710899</c:v>
                </c:pt>
                <c:pt idx="17">
                  <c:v>34.267413931144915</c:v>
                </c:pt>
                <c:pt idx="18">
                  <c:v>48.776223776223773</c:v>
                </c:pt>
                <c:pt idx="19">
                  <c:v>36.920222634508349</c:v>
                </c:pt>
                <c:pt idx="20">
                  <c:v>26.006528835690968</c:v>
                </c:pt>
                <c:pt idx="21">
                  <c:v>47.85954785954786</c:v>
                </c:pt>
                <c:pt idx="22">
                  <c:v>33.182844243792324</c:v>
                </c:pt>
                <c:pt idx="23">
                  <c:v>38.321342925659472</c:v>
                </c:pt>
                <c:pt idx="24">
                  <c:v>32.349052446011456</c:v>
                </c:pt>
                <c:pt idx="25">
                  <c:v>38.541666666666664</c:v>
                </c:pt>
                <c:pt idx="26">
                  <c:v>54.414682539682538</c:v>
                </c:pt>
                <c:pt idx="27">
                  <c:v>44.678111587982833</c:v>
                </c:pt>
                <c:pt idx="28">
                  <c:v>48.960216998191683</c:v>
                </c:pt>
                <c:pt idx="29">
                  <c:v>36.23435722411832</c:v>
                </c:pt>
                <c:pt idx="30">
                  <c:v>41.570026761819804</c:v>
                </c:pt>
                <c:pt idx="31">
                  <c:v>30.401785714285715</c:v>
                </c:pt>
                <c:pt idx="32">
                  <c:v>40.432098765432102</c:v>
                </c:pt>
                <c:pt idx="33">
                  <c:v>95.27145359019265</c:v>
                </c:pt>
                <c:pt idx="34">
                  <c:v>43.419689119170982</c:v>
                </c:pt>
                <c:pt idx="35">
                  <c:v>61.180952380952384</c:v>
                </c:pt>
                <c:pt idx="36">
                  <c:v>82.278481012658233</c:v>
                </c:pt>
                <c:pt idx="37">
                  <c:v>37.891440501043839</c:v>
                </c:pt>
                <c:pt idx="38">
                  <c:v>40.373395565927652</c:v>
                </c:pt>
                <c:pt idx="39">
                  <c:v>40.014164305949009</c:v>
                </c:pt>
                <c:pt idx="40">
                  <c:v>35.019646365422396</c:v>
                </c:pt>
                <c:pt idx="41">
                  <c:v>32.91592128801431</c:v>
                </c:pt>
                <c:pt idx="42">
                  <c:v>34.583952451708768</c:v>
                </c:pt>
                <c:pt idx="43">
                  <c:v>34.065460809646858</c:v>
                </c:pt>
                <c:pt idx="44">
                  <c:v>66.542133665421332</c:v>
                </c:pt>
                <c:pt idx="45">
                  <c:v>82.972136222910223</c:v>
                </c:pt>
                <c:pt idx="46">
                  <c:v>64.759725400457668</c:v>
                </c:pt>
                <c:pt idx="47">
                  <c:v>40.809968847352025</c:v>
                </c:pt>
                <c:pt idx="48">
                  <c:v>45.801033591731269</c:v>
                </c:pt>
                <c:pt idx="49">
                  <c:v>54.984354045596781</c:v>
                </c:pt>
                <c:pt idx="50">
                  <c:v>40.988835725677831</c:v>
                </c:pt>
                <c:pt idx="51">
                  <c:v>37.672465506898618</c:v>
                </c:pt>
                <c:pt idx="52">
                  <c:v>42.771804062126641</c:v>
                </c:pt>
                <c:pt idx="53">
                  <c:v>78.285714285714292</c:v>
                </c:pt>
                <c:pt idx="54">
                  <c:v>35.802469135802468</c:v>
                </c:pt>
                <c:pt idx="55">
                  <c:v>34.591626630061768</c:v>
                </c:pt>
                <c:pt idx="56">
                  <c:v>43.99198931909212</c:v>
                </c:pt>
                <c:pt idx="57">
                  <c:v>35.998498498498499</c:v>
                </c:pt>
                <c:pt idx="58">
                  <c:v>28.264758497316638</c:v>
                </c:pt>
                <c:pt idx="59">
                  <c:v>41.413753361505954</c:v>
                </c:pt>
                <c:pt idx="60">
                  <c:v>38.279830405814657</c:v>
                </c:pt>
                <c:pt idx="61">
                  <c:v>44.122298365840798</c:v>
                </c:pt>
                <c:pt idx="62">
                  <c:v>28.415841584158414</c:v>
                </c:pt>
                <c:pt idx="63">
                  <c:v>28.213166144200628</c:v>
                </c:pt>
                <c:pt idx="64">
                  <c:v>31.632653061224488</c:v>
                </c:pt>
                <c:pt idx="65">
                  <c:v>57.634902411021812</c:v>
                </c:pt>
                <c:pt idx="66">
                  <c:v>65.963431786216603</c:v>
                </c:pt>
                <c:pt idx="67">
                  <c:v>59.171597633136095</c:v>
                </c:pt>
                <c:pt idx="68">
                  <c:v>46.972972972972975</c:v>
                </c:pt>
                <c:pt idx="69">
                  <c:v>52.910330361824855</c:v>
                </c:pt>
                <c:pt idx="70">
                  <c:v>36.995153473344104</c:v>
                </c:pt>
                <c:pt idx="71">
                  <c:v>41.978609625668447</c:v>
                </c:pt>
                <c:pt idx="72">
                  <c:v>40.463576158940398</c:v>
                </c:pt>
                <c:pt idx="73">
                  <c:v>22.40990990990991</c:v>
                </c:pt>
                <c:pt idx="74">
                  <c:v>35.343511450381676</c:v>
                </c:pt>
                <c:pt idx="75">
                  <c:v>51.278195488721806</c:v>
                </c:pt>
                <c:pt idx="76">
                  <c:v>55.201177625122668</c:v>
                </c:pt>
                <c:pt idx="77">
                  <c:v>57.815126050420169</c:v>
                </c:pt>
                <c:pt idx="78">
                  <c:v>51.873767258382642</c:v>
                </c:pt>
                <c:pt idx="79">
                  <c:v>42.535211267605632</c:v>
                </c:pt>
                <c:pt idx="80">
                  <c:v>51.540983606557376</c:v>
                </c:pt>
                <c:pt idx="81">
                  <c:v>40.625</c:v>
                </c:pt>
                <c:pt idx="82">
                  <c:v>47.904811174340402</c:v>
                </c:pt>
                <c:pt idx="83">
                  <c:v>44.525904203323556</c:v>
                </c:pt>
                <c:pt idx="84">
                  <c:v>40.621336459554513</c:v>
                </c:pt>
                <c:pt idx="85">
                  <c:v>40.938416422287389</c:v>
                </c:pt>
                <c:pt idx="86">
                  <c:v>46.500981033355131</c:v>
                </c:pt>
                <c:pt idx="87">
                  <c:v>35.444444444444443</c:v>
                </c:pt>
                <c:pt idx="88">
                  <c:v>38.161993769470406</c:v>
                </c:pt>
                <c:pt idx="89">
                  <c:v>43.880142204164549</c:v>
                </c:pt>
                <c:pt idx="90">
                  <c:v>49.60753532182104</c:v>
                </c:pt>
                <c:pt idx="91">
                  <c:v>51.973284760170003</c:v>
                </c:pt>
                <c:pt idx="92">
                  <c:v>56.155015197568389</c:v>
                </c:pt>
                <c:pt idx="93">
                  <c:v>63.973344439816742</c:v>
                </c:pt>
                <c:pt idx="94">
                  <c:v>66.090611863615138</c:v>
                </c:pt>
                <c:pt idx="95">
                  <c:v>65.528455284552848</c:v>
                </c:pt>
                <c:pt idx="96">
                  <c:v>59.78142076502732</c:v>
                </c:pt>
                <c:pt idx="97">
                  <c:v>47.716799329702553</c:v>
                </c:pt>
                <c:pt idx="98">
                  <c:v>53.094462540716613</c:v>
                </c:pt>
                <c:pt idx="99">
                  <c:v>31.606805293005671</c:v>
                </c:pt>
                <c:pt idx="100">
                  <c:v>36.172295643661279</c:v>
                </c:pt>
                <c:pt idx="101">
                  <c:v>57.703081232492998</c:v>
                </c:pt>
                <c:pt idx="102">
                  <c:v>57.186234817813762</c:v>
                </c:pt>
                <c:pt idx="103">
                  <c:v>100</c:v>
                </c:pt>
                <c:pt idx="104">
                  <c:v>90.865384615384613</c:v>
                </c:pt>
                <c:pt idx="105">
                  <c:v>45.725760183591511</c:v>
                </c:pt>
                <c:pt idx="106">
                  <c:v>38.141592920353979</c:v>
                </c:pt>
                <c:pt idx="107">
                  <c:v>35.991379310344826</c:v>
                </c:pt>
                <c:pt idx="108">
                  <c:v>40.813135261923378</c:v>
                </c:pt>
                <c:pt idx="109">
                  <c:v>37.786561264822133</c:v>
                </c:pt>
                <c:pt idx="110">
                  <c:v>42.659279778393355</c:v>
                </c:pt>
                <c:pt idx="111">
                  <c:v>39.198131568703779</c:v>
                </c:pt>
                <c:pt idx="112">
                  <c:v>39.279869067103107</c:v>
                </c:pt>
                <c:pt idx="113">
                  <c:v>42.108890420399725</c:v>
                </c:pt>
                <c:pt idx="114">
                  <c:v>37.489609310058185</c:v>
                </c:pt>
                <c:pt idx="115">
                  <c:v>35.413899955732624</c:v>
                </c:pt>
                <c:pt idx="116">
                  <c:v>48.197955890263586</c:v>
                </c:pt>
                <c:pt idx="117">
                  <c:v>36.372360844529751</c:v>
                </c:pt>
                <c:pt idx="118">
                  <c:v>0</c:v>
                </c:pt>
                <c:pt idx="119">
                  <c:v>41.97530864197531</c:v>
                </c:pt>
                <c:pt idx="120">
                  <c:v>32.253711201079625</c:v>
                </c:pt>
                <c:pt idx="121">
                  <c:v>51.320918146383718</c:v>
                </c:pt>
                <c:pt idx="122">
                  <c:v>33.550325488232346</c:v>
                </c:pt>
                <c:pt idx="123">
                  <c:v>35.837864557587743</c:v>
                </c:pt>
                <c:pt idx="124">
                  <c:v>43.203883495145632</c:v>
                </c:pt>
                <c:pt idx="125">
                  <c:v>40.560640732265448</c:v>
                </c:pt>
                <c:pt idx="126">
                  <c:v>36.066288704753596</c:v>
                </c:pt>
                <c:pt idx="127">
                  <c:v>34.057301293900181</c:v>
                </c:pt>
                <c:pt idx="128">
                  <c:v>36.285858077503775</c:v>
                </c:pt>
                <c:pt idx="129">
                  <c:v>42.036753445635526</c:v>
                </c:pt>
                <c:pt idx="130">
                  <c:v>70.199587061252586</c:v>
                </c:pt>
                <c:pt idx="131">
                  <c:v>31.971465629053178</c:v>
                </c:pt>
                <c:pt idx="132">
                  <c:v>35.394021739130437</c:v>
                </c:pt>
                <c:pt idx="133">
                  <c:v>35.140700068634182</c:v>
                </c:pt>
                <c:pt idx="134">
                  <c:v>29.351351351351351</c:v>
                </c:pt>
                <c:pt idx="135">
                  <c:v>42.471590909090907</c:v>
                </c:pt>
                <c:pt idx="136">
                  <c:v>55.265700483091784</c:v>
                </c:pt>
                <c:pt idx="137">
                  <c:v>51.10526315789474</c:v>
                </c:pt>
                <c:pt idx="138">
                  <c:v>36.855895196506552</c:v>
                </c:pt>
                <c:pt idx="139">
                  <c:v>34.820209376422397</c:v>
                </c:pt>
                <c:pt idx="140">
                  <c:v>69.944444444444443</c:v>
                </c:pt>
                <c:pt idx="141">
                  <c:v>33.010156971375807</c:v>
                </c:pt>
                <c:pt idx="142">
                  <c:v>40.26290165530672</c:v>
                </c:pt>
                <c:pt idx="143">
                  <c:v>38.359412043622569</c:v>
                </c:pt>
                <c:pt idx="144">
                  <c:v>30.732484076433121</c:v>
                </c:pt>
                <c:pt idx="145">
                  <c:v>37.028301886792455</c:v>
                </c:pt>
                <c:pt idx="146">
                  <c:v>35.288367546432063</c:v>
                </c:pt>
                <c:pt idx="147">
                  <c:v>34.275248560962844</c:v>
                </c:pt>
                <c:pt idx="148">
                  <c:v>38.125802310654684</c:v>
                </c:pt>
                <c:pt idx="149">
                  <c:v>40.745732255166217</c:v>
                </c:pt>
                <c:pt idx="150">
                  <c:v>27.971233913701742</c:v>
                </c:pt>
                <c:pt idx="151">
                  <c:v>28.618602091359385</c:v>
                </c:pt>
                <c:pt idx="152">
                  <c:v>32.336255801959773</c:v>
                </c:pt>
                <c:pt idx="153">
                  <c:v>24.444444444444443</c:v>
                </c:pt>
                <c:pt idx="154">
                  <c:v>28.796498905908095</c:v>
                </c:pt>
                <c:pt idx="155">
                  <c:v>28.420227361818895</c:v>
                </c:pt>
                <c:pt idx="156">
                  <c:v>33.021390374331553</c:v>
                </c:pt>
                <c:pt idx="157">
                  <c:v>53.324468085106382</c:v>
                </c:pt>
                <c:pt idx="158">
                  <c:v>48.549810844892811</c:v>
                </c:pt>
                <c:pt idx="159">
                  <c:v>32.177931831311383</c:v>
                </c:pt>
                <c:pt idx="160">
                  <c:v>44.659300184162063</c:v>
                </c:pt>
                <c:pt idx="161">
                  <c:v>28.372555518727211</c:v>
                </c:pt>
                <c:pt idx="162">
                  <c:v>26.083707025411062</c:v>
                </c:pt>
                <c:pt idx="163">
                  <c:v>27.099236641221374</c:v>
                </c:pt>
                <c:pt idx="164">
                  <c:v>29.520795660036168</c:v>
                </c:pt>
                <c:pt idx="165">
                  <c:v>26.91194708557255</c:v>
                </c:pt>
                <c:pt idx="166">
                  <c:v>22.96983758700696</c:v>
                </c:pt>
                <c:pt idx="167">
                  <c:v>23.950826621449767</c:v>
                </c:pt>
                <c:pt idx="168">
                  <c:v>26.504394861392832</c:v>
                </c:pt>
                <c:pt idx="169">
                  <c:v>22.563417890520693</c:v>
                </c:pt>
                <c:pt idx="170">
                  <c:v>22.906496432594817</c:v>
                </c:pt>
                <c:pt idx="171">
                  <c:v>42.521534847298355</c:v>
                </c:pt>
                <c:pt idx="172">
                  <c:v>34.256694367497694</c:v>
                </c:pt>
                <c:pt idx="173">
                  <c:v>31.412337662337663</c:v>
                </c:pt>
                <c:pt idx="174">
                  <c:v>37.596899224806201</c:v>
                </c:pt>
                <c:pt idx="175">
                  <c:v>35.335276967930028</c:v>
                </c:pt>
                <c:pt idx="176">
                  <c:v>49.561146869514339</c:v>
                </c:pt>
                <c:pt idx="177">
                  <c:v>64.645637034002462</c:v>
                </c:pt>
                <c:pt idx="178">
                  <c:v>31.949058693244741</c:v>
                </c:pt>
                <c:pt idx="179">
                  <c:v>42.149390243902438</c:v>
                </c:pt>
                <c:pt idx="180">
                  <c:v>43.365500603136311</c:v>
                </c:pt>
                <c:pt idx="181">
                  <c:v>26.360225140712945</c:v>
                </c:pt>
              </c:numCache>
            </c:numRef>
          </c:xVal>
          <c:yVal>
            <c:numRef>
              <c:f>'Дума партии'!$U$2:$U$184</c:f>
              <c:numCache>
                <c:formatCode>0.0</c:formatCode>
                <c:ptCount val="182"/>
                <c:pt idx="0">
                  <c:v>1.1786600496277915</c:v>
                </c:pt>
                <c:pt idx="1">
                  <c:v>6.0762100926879503</c:v>
                </c:pt>
                <c:pt idx="2">
                  <c:v>6.861848124428179</c:v>
                </c:pt>
                <c:pt idx="3">
                  <c:v>1.8379281537176273</c:v>
                </c:pt>
                <c:pt idx="4">
                  <c:v>10.367170626349893</c:v>
                </c:pt>
                <c:pt idx="5">
                  <c:v>10.088148873653282</c:v>
                </c:pt>
                <c:pt idx="6">
                  <c:v>13.167587476979742</c:v>
                </c:pt>
                <c:pt idx="7">
                  <c:v>4.1438623924941362</c:v>
                </c:pt>
                <c:pt idx="8">
                  <c:v>9.3728927848954822</c:v>
                </c:pt>
                <c:pt idx="9">
                  <c:v>19.286510590858416</c:v>
                </c:pt>
                <c:pt idx="10">
                  <c:v>1.8612521150592216</c:v>
                </c:pt>
                <c:pt idx="11">
                  <c:v>19.201228878648234</c:v>
                </c:pt>
                <c:pt idx="12">
                  <c:v>43.402777777777779</c:v>
                </c:pt>
                <c:pt idx="13">
                  <c:v>13.793103448275861</c:v>
                </c:pt>
                <c:pt idx="14">
                  <c:v>29.322033898305083</c:v>
                </c:pt>
                <c:pt idx="15">
                  <c:v>4.4628099173553721</c:v>
                </c:pt>
                <c:pt idx="16">
                  <c:v>23.444976076555022</c:v>
                </c:pt>
                <c:pt idx="17">
                  <c:v>1.4218009478672986</c:v>
                </c:pt>
                <c:pt idx="18">
                  <c:v>25.806451612903224</c:v>
                </c:pt>
                <c:pt idx="19">
                  <c:v>23.08467741935484</c:v>
                </c:pt>
                <c:pt idx="20">
                  <c:v>0.41841004184100417</c:v>
                </c:pt>
                <c:pt idx="21">
                  <c:v>2.1105527638190953</c:v>
                </c:pt>
                <c:pt idx="22">
                  <c:v>4.7683923705722071</c:v>
                </c:pt>
                <c:pt idx="23">
                  <c:v>4.005006257822278</c:v>
                </c:pt>
                <c:pt idx="24">
                  <c:v>5.6087551299589604</c:v>
                </c:pt>
                <c:pt idx="25">
                  <c:v>9.7051597051597049</c:v>
                </c:pt>
                <c:pt idx="26">
                  <c:v>2.096627164995442</c:v>
                </c:pt>
                <c:pt idx="27">
                  <c:v>0.87463556851311952</c:v>
                </c:pt>
                <c:pt idx="28">
                  <c:v>1.9408502772643252</c:v>
                </c:pt>
                <c:pt idx="29">
                  <c:v>2.0408163265306123</c:v>
                </c:pt>
                <c:pt idx="30">
                  <c:v>7.296137339055794</c:v>
                </c:pt>
                <c:pt idx="31">
                  <c:v>3.9647577092511015</c:v>
                </c:pt>
                <c:pt idx="32">
                  <c:v>30.725190839694658</c:v>
                </c:pt>
                <c:pt idx="33">
                  <c:v>48.066298342541437</c:v>
                </c:pt>
                <c:pt idx="34">
                  <c:v>33.651551312649161</c:v>
                </c:pt>
                <c:pt idx="35">
                  <c:v>41.407222914072229</c:v>
                </c:pt>
                <c:pt idx="36">
                  <c:v>18.681318681318682</c:v>
                </c:pt>
                <c:pt idx="37">
                  <c:v>27.134986225895318</c:v>
                </c:pt>
                <c:pt idx="38">
                  <c:v>11.560693641618498</c:v>
                </c:pt>
                <c:pt idx="39">
                  <c:v>26.017699115044248</c:v>
                </c:pt>
                <c:pt idx="40">
                  <c:v>26.609442060085836</c:v>
                </c:pt>
                <c:pt idx="41">
                  <c:v>4.3478260869565215</c:v>
                </c:pt>
                <c:pt idx="42">
                  <c:v>2.1482277121374866</c:v>
                </c:pt>
                <c:pt idx="43">
                  <c:v>1.7699115044247788</c:v>
                </c:pt>
                <c:pt idx="44">
                  <c:v>0</c:v>
                </c:pt>
                <c:pt idx="45">
                  <c:v>0</c:v>
                </c:pt>
                <c:pt idx="46">
                  <c:v>7.0671378091872787</c:v>
                </c:pt>
                <c:pt idx="47">
                  <c:v>0.76335877862595425</c:v>
                </c:pt>
                <c:pt idx="48">
                  <c:v>0.56417489421720735</c:v>
                </c:pt>
                <c:pt idx="49">
                  <c:v>0.32921810699588477</c:v>
                </c:pt>
                <c:pt idx="50">
                  <c:v>16.731517509727627</c:v>
                </c:pt>
                <c:pt idx="51">
                  <c:v>0.79617834394904463</c:v>
                </c:pt>
                <c:pt idx="52">
                  <c:v>0.6983240223463687</c:v>
                </c:pt>
                <c:pt idx="53">
                  <c:v>65.206812652068123</c:v>
                </c:pt>
                <c:pt idx="54">
                  <c:v>6.5830721003134798</c:v>
                </c:pt>
                <c:pt idx="55">
                  <c:v>0.99206349206349209</c:v>
                </c:pt>
                <c:pt idx="56">
                  <c:v>18.512898330804248</c:v>
                </c:pt>
                <c:pt idx="57">
                  <c:v>4.7966631908237751</c:v>
                </c:pt>
                <c:pt idx="58">
                  <c:v>12.025316455696203</c:v>
                </c:pt>
                <c:pt idx="59">
                  <c:v>17.439703153988869</c:v>
                </c:pt>
                <c:pt idx="60">
                  <c:v>0.94936708860759489</c:v>
                </c:pt>
                <c:pt idx="61">
                  <c:v>6.2126642771804059</c:v>
                </c:pt>
                <c:pt idx="62">
                  <c:v>1.2195121951219512</c:v>
                </c:pt>
                <c:pt idx="63">
                  <c:v>18.333333333333332</c:v>
                </c:pt>
                <c:pt idx="64">
                  <c:v>5.376344086021505</c:v>
                </c:pt>
                <c:pt idx="65">
                  <c:v>12.815405046480743</c:v>
                </c:pt>
                <c:pt idx="66">
                  <c:v>14.712153518123667</c:v>
                </c:pt>
                <c:pt idx="67">
                  <c:v>37.75</c:v>
                </c:pt>
                <c:pt idx="68">
                  <c:v>17.20554272517321</c:v>
                </c:pt>
                <c:pt idx="69">
                  <c:v>11.595639246778989</c:v>
                </c:pt>
                <c:pt idx="70">
                  <c:v>5.8951965065502181</c:v>
                </c:pt>
                <c:pt idx="71">
                  <c:v>7.0212765957446805</c:v>
                </c:pt>
                <c:pt idx="72">
                  <c:v>8.1395348837209305</c:v>
                </c:pt>
                <c:pt idx="73">
                  <c:v>8.0402010050251249</c:v>
                </c:pt>
                <c:pt idx="74">
                  <c:v>9.0712742980561547</c:v>
                </c:pt>
                <c:pt idx="75">
                  <c:v>4.3988269794721404</c:v>
                </c:pt>
                <c:pt idx="76">
                  <c:v>24.466192170818506</c:v>
                </c:pt>
                <c:pt idx="77">
                  <c:v>37.980769230769234</c:v>
                </c:pt>
                <c:pt idx="78">
                  <c:v>37.690355329949242</c:v>
                </c:pt>
                <c:pt idx="79">
                  <c:v>34.105960264900659</c:v>
                </c:pt>
                <c:pt idx="80">
                  <c:v>12.086513994910941</c:v>
                </c:pt>
                <c:pt idx="81">
                  <c:v>2.508361204013378</c:v>
                </c:pt>
                <c:pt idx="82">
                  <c:v>8.903365906623236</c:v>
                </c:pt>
                <c:pt idx="83">
                  <c:v>15.038419319429199</c:v>
                </c:pt>
                <c:pt idx="84">
                  <c:v>18.903318903318905</c:v>
                </c:pt>
                <c:pt idx="85">
                  <c:v>8.7392550143266483</c:v>
                </c:pt>
                <c:pt idx="86">
                  <c:v>19.127988748241911</c:v>
                </c:pt>
                <c:pt idx="87">
                  <c:v>8.307210031347962</c:v>
                </c:pt>
                <c:pt idx="88">
                  <c:v>6.9868995633187776</c:v>
                </c:pt>
                <c:pt idx="89">
                  <c:v>23.49537037037037</c:v>
                </c:pt>
                <c:pt idx="90">
                  <c:v>18.670886075949365</c:v>
                </c:pt>
                <c:pt idx="91">
                  <c:v>24.883177570093459</c:v>
                </c:pt>
                <c:pt idx="92">
                  <c:v>37.483085250338299</c:v>
                </c:pt>
                <c:pt idx="93">
                  <c:v>5.078125</c:v>
                </c:pt>
                <c:pt idx="94">
                  <c:v>2.264685067232838</c:v>
                </c:pt>
                <c:pt idx="95">
                  <c:v>9.6598639455782305</c:v>
                </c:pt>
                <c:pt idx="96">
                  <c:v>5.6672760511883</c:v>
                </c:pt>
                <c:pt idx="97">
                  <c:v>37.664618086040385</c:v>
                </c:pt>
                <c:pt idx="98">
                  <c:v>45.398773006134967</c:v>
                </c:pt>
                <c:pt idx="99">
                  <c:v>1.9138755980861244</c:v>
                </c:pt>
                <c:pt idx="100">
                  <c:v>2.029769959404601</c:v>
                </c:pt>
                <c:pt idx="101">
                  <c:v>27.540983606557376</c:v>
                </c:pt>
                <c:pt idx="102">
                  <c:v>20.353982300884955</c:v>
                </c:pt>
                <c:pt idx="103">
                  <c:v>82.41379310344827</c:v>
                </c:pt>
                <c:pt idx="104">
                  <c:v>0</c:v>
                </c:pt>
                <c:pt idx="105">
                  <c:v>16.060225846925974</c:v>
                </c:pt>
                <c:pt idx="106">
                  <c:v>1.3921113689095128</c:v>
                </c:pt>
                <c:pt idx="107">
                  <c:v>5.7485029940119761</c:v>
                </c:pt>
                <c:pt idx="108">
                  <c:v>10.485436893203884</c:v>
                </c:pt>
                <c:pt idx="109">
                  <c:v>1.0460251046025104</c:v>
                </c:pt>
                <c:pt idx="110">
                  <c:v>4.5760430686406464</c:v>
                </c:pt>
                <c:pt idx="111">
                  <c:v>4.766839378238342</c:v>
                </c:pt>
                <c:pt idx="112">
                  <c:v>3.3333333333333335</c:v>
                </c:pt>
                <c:pt idx="113">
                  <c:v>9.8199672667757767</c:v>
                </c:pt>
                <c:pt idx="114">
                  <c:v>9.1314031180400885</c:v>
                </c:pt>
                <c:pt idx="115">
                  <c:v>2.1276595744680851</c:v>
                </c:pt>
                <c:pt idx="116">
                  <c:v>1.122334455667789</c:v>
                </c:pt>
                <c:pt idx="117">
                  <c:v>0.92348284960422167</c:v>
                </c:pt>
                <c:pt idx="118">
                  <c:v>0</c:v>
                </c:pt>
                <c:pt idx="119">
                  <c:v>13.93523061825319</c:v>
                </c:pt>
                <c:pt idx="120">
                  <c:v>2.0920502092050208</c:v>
                </c:pt>
                <c:pt idx="121">
                  <c:v>11.308016877637131</c:v>
                </c:pt>
                <c:pt idx="122">
                  <c:v>4.6268656716417906</c:v>
                </c:pt>
                <c:pt idx="123">
                  <c:v>1.25</c:v>
                </c:pt>
                <c:pt idx="124">
                  <c:v>9.6059113300492616</c:v>
                </c:pt>
                <c:pt idx="125">
                  <c:v>10.451977401129943</c:v>
                </c:pt>
                <c:pt idx="126">
                  <c:v>3.9903264812575574</c:v>
                </c:pt>
                <c:pt idx="127">
                  <c:v>0.54274084124830391</c:v>
                </c:pt>
                <c:pt idx="128">
                  <c:v>0.55478502080443826</c:v>
                </c:pt>
                <c:pt idx="129">
                  <c:v>0.91074681238615662</c:v>
                </c:pt>
                <c:pt idx="130">
                  <c:v>0.93676814988290402</c:v>
                </c:pt>
                <c:pt idx="131">
                  <c:v>0.20283975659229209</c:v>
                </c:pt>
                <c:pt idx="132">
                  <c:v>1.3435700575815739</c:v>
                </c:pt>
                <c:pt idx="133">
                  <c:v>1.7578125</c:v>
                </c:pt>
                <c:pt idx="134">
                  <c:v>0</c:v>
                </c:pt>
                <c:pt idx="135">
                  <c:v>10.702341137123746</c:v>
                </c:pt>
                <c:pt idx="136">
                  <c:v>39.510489510489514</c:v>
                </c:pt>
                <c:pt idx="137">
                  <c:v>41.237113402061858</c:v>
                </c:pt>
                <c:pt idx="138">
                  <c:v>7.3383084577114426</c:v>
                </c:pt>
                <c:pt idx="139">
                  <c:v>4.3137254901960782</c:v>
                </c:pt>
                <c:pt idx="140">
                  <c:v>12.629070691024623</c:v>
                </c:pt>
                <c:pt idx="141">
                  <c:v>0.83916083916083917</c:v>
                </c:pt>
                <c:pt idx="142">
                  <c:v>4.7087980173482036</c:v>
                </c:pt>
                <c:pt idx="143">
                  <c:v>5.598958333333333</c:v>
                </c:pt>
                <c:pt idx="144">
                  <c:v>0.77720207253886009</c:v>
                </c:pt>
                <c:pt idx="145">
                  <c:v>1.4925373134328359</c:v>
                </c:pt>
                <c:pt idx="146">
                  <c:v>2.21606648199446</c:v>
                </c:pt>
                <c:pt idx="147">
                  <c:v>5.9541984732824424</c:v>
                </c:pt>
                <c:pt idx="148">
                  <c:v>4.288939051918736</c:v>
                </c:pt>
                <c:pt idx="149">
                  <c:v>12.942477876106194</c:v>
                </c:pt>
                <c:pt idx="150">
                  <c:v>2.976995940460081</c:v>
                </c:pt>
                <c:pt idx="151">
                  <c:v>0</c:v>
                </c:pt>
                <c:pt idx="152">
                  <c:v>0.15948963317384371</c:v>
                </c:pt>
                <c:pt idx="153">
                  <c:v>1.1857707509881423</c:v>
                </c:pt>
                <c:pt idx="154">
                  <c:v>0.45592705167173253</c:v>
                </c:pt>
                <c:pt idx="155">
                  <c:v>0.55172413793103448</c:v>
                </c:pt>
                <c:pt idx="156">
                  <c:v>1.1133603238866396</c:v>
                </c:pt>
                <c:pt idx="157">
                  <c:v>45.137157107231921</c:v>
                </c:pt>
                <c:pt idx="158">
                  <c:v>8.6614173228346463</c:v>
                </c:pt>
                <c:pt idx="159">
                  <c:v>1.2727272727272727</c:v>
                </c:pt>
                <c:pt idx="160">
                  <c:v>53.608247422680414</c:v>
                </c:pt>
                <c:pt idx="161">
                  <c:v>0</c:v>
                </c:pt>
                <c:pt idx="162">
                  <c:v>0.14326647564469913</c:v>
                </c:pt>
                <c:pt idx="163">
                  <c:v>0.3129890453834116</c:v>
                </c:pt>
                <c:pt idx="164">
                  <c:v>0.45941807044410415</c:v>
                </c:pt>
                <c:pt idx="165">
                  <c:v>0.46082949308755761</c:v>
                </c:pt>
                <c:pt idx="166">
                  <c:v>0.20283975659229209</c:v>
                </c:pt>
                <c:pt idx="167">
                  <c:v>0.53380782918149461</c:v>
                </c:pt>
                <c:pt idx="168">
                  <c:v>2.295918367346939</c:v>
                </c:pt>
                <c:pt idx="169">
                  <c:v>4.9689440993788816</c:v>
                </c:pt>
                <c:pt idx="170">
                  <c:v>6.557377049180328</c:v>
                </c:pt>
                <c:pt idx="171">
                  <c:v>9.7605893186003687</c:v>
                </c:pt>
                <c:pt idx="172">
                  <c:v>24.797843665768195</c:v>
                </c:pt>
                <c:pt idx="173">
                  <c:v>1.2919896640826873</c:v>
                </c:pt>
                <c:pt idx="174">
                  <c:v>19.329896907216494</c:v>
                </c:pt>
                <c:pt idx="175">
                  <c:v>10.891089108910892</c:v>
                </c:pt>
                <c:pt idx="176">
                  <c:v>13.2858837485172</c:v>
                </c:pt>
                <c:pt idx="177">
                  <c:v>0.38022813688212925</c:v>
                </c:pt>
                <c:pt idx="178">
                  <c:v>42.980935875216637</c:v>
                </c:pt>
                <c:pt idx="179">
                  <c:v>1.8083182640144666</c:v>
                </c:pt>
                <c:pt idx="180">
                  <c:v>3.1988873435326841</c:v>
                </c:pt>
                <c:pt idx="181">
                  <c:v>7.4733096085409256</c:v>
                </c:pt>
              </c:numCache>
            </c:numRef>
          </c:yVal>
          <c:bubbleSize>
            <c:numRef>
              <c:f>'Дума партии'!$J$2:$J$184</c:f>
              <c:numCache>
                <c:formatCode>General</c:formatCode>
                <c:ptCount val="182"/>
                <c:pt idx="0">
                  <c:v>2451</c:v>
                </c:pt>
                <c:pt idx="1">
                  <c:v>1779</c:v>
                </c:pt>
                <c:pt idx="2">
                  <c:v>1942</c:v>
                </c:pt>
                <c:pt idx="3">
                  <c:v>2110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422</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2240</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1292</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290</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2226</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3017</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1-DA14-4CA3-A295-ADA8A2EA9FFE}"/>
            </c:ext>
          </c:extLst>
        </c:ser>
        <c:ser>
          <c:idx val="16"/>
          <c:order val="16"/>
          <c:tx>
            <c:strRef>
              <c:f>'Дума партии'!$AA$202</c:f>
              <c:strCache>
                <c:ptCount val="1"/>
                <c:pt idx="0">
                  <c:v>Вручную задано: ЕР без фальс. (%)</c:v>
                </c:pt>
              </c:strCache>
            </c:strRef>
          </c:tx>
          <c:spPr>
            <a:ln w="25400">
              <a:noFill/>
            </a:ln>
          </c:spPr>
          <c:invertIfNegative val="0"/>
          <c:errBars>
            <c:errDir val="x"/>
            <c:errBarType val="minus"/>
            <c:errValType val="percentage"/>
            <c:noEndCap val="1"/>
            <c:val val="100"/>
            <c:spPr>
              <a:ln w="6350">
                <a:solidFill>
                  <a:srgbClr val="0000FF">
                    <a:alpha val="50000"/>
                  </a:srgbClr>
                </a:solidFill>
              </a:ln>
            </c:spPr>
          </c:errBars>
          <c:xVal>
            <c:numLit>
              <c:formatCode>General</c:formatCode>
              <c:ptCount val="1"/>
              <c:pt idx="0">
                <c:v>100</c:v>
              </c:pt>
            </c:numLit>
          </c:xVal>
          <c:yVal>
            <c:numRef>
              <c:f>'Дума партии'!$AA$203</c:f>
              <c:numCache>
                <c:formatCode>0.0</c:formatCode>
                <c:ptCount val="1"/>
                <c:pt idx="0">
                  <c:v>27.3</c:v>
                </c:pt>
              </c:numCache>
            </c:numRef>
          </c:yVal>
          <c:bubbleSize>
            <c:numLit>
              <c:formatCode>General</c:formatCode>
              <c:ptCount val="11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numLit>
          </c:bubbleSize>
          <c:bubble3D val="0"/>
          <c:extLst>
            <c:ext xmlns:c16="http://schemas.microsoft.com/office/drawing/2014/chart" uri="{C3380CC4-5D6E-409C-BE32-E72D297353CC}">
              <c16:uniqueId val="{00000000-58A2-4A44-B348-02F550067423}"/>
            </c:ext>
          </c:extLst>
        </c:ser>
        <c:ser>
          <c:idx val="17"/>
          <c:order val="17"/>
          <c:tx>
            <c:strRef>
              <c:f>'Дума партии'!$AA$221</c:f>
              <c:strCache>
                <c:ptCount val="1"/>
                <c:pt idx="0">
                  <c:v>Макс. размер кружка</c:v>
                </c:pt>
              </c:strCache>
            </c:strRef>
          </c:tx>
          <c:spPr>
            <a:solidFill>
              <a:srgbClr val="000000">
                <a:alpha val="50000"/>
              </a:srgbClr>
            </a:solidFill>
            <a:ln w="25400">
              <a:noFill/>
            </a:ln>
          </c:spPr>
          <c:invertIfNegative val="0"/>
          <c:xVal>
            <c:numLit>
              <c:formatCode>General</c:formatCode>
              <c:ptCount val="1"/>
              <c:pt idx="0">
                <c:v>-10</c:v>
              </c:pt>
            </c:numLit>
          </c:xVal>
          <c:yVal>
            <c:numLit>
              <c:formatCode>General</c:formatCode>
              <c:ptCount val="1"/>
              <c:pt idx="0">
                <c:v>-10</c:v>
              </c:pt>
            </c:numLit>
          </c:yVal>
          <c:bubbleSize>
            <c:numRef>
              <c:f>'Дума партии'!$AA$222</c:f>
              <c:numCache>
                <c:formatCode>General</c:formatCode>
                <c:ptCount val="1"/>
                <c:pt idx="0">
                  <c:v>6034</c:v>
                </c:pt>
              </c:numCache>
            </c:numRef>
          </c:bubbleSize>
          <c:bubble3D val="0"/>
          <c:extLst>
            <c:ext xmlns:c16="http://schemas.microsoft.com/office/drawing/2014/chart" uri="{C3380CC4-5D6E-409C-BE32-E72D297353CC}">
              <c16:uniqueId val="{00000000-EC0A-433D-BBBC-4C8F60D6E9DA}"/>
            </c:ext>
          </c:extLst>
        </c:ser>
        <c:dLbls>
          <c:showLegendKey val="0"/>
          <c:showVal val="0"/>
          <c:showCatName val="0"/>
          <c:showSerName val="0"/>
          <c:showPercent val="0"/>
          <c:showBubbleSize val="0"/>
        </c:dLbls>
        <c:bubbleScale val="10"/>
        <c:showNegBubbles val="0"/>
        <c:axId val="1404683680"/>
        <c:axId val="1467487472"/>
      </c:bubbleChart>
      <c:valAx>
        <c:axId val="1404683680"/>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ru-RU"/>
                  <a:t>Явка (%)</a:t>
                </a:r>
                <a:endParaRPr lang="en-US"/>
              </a:p>
            </c:rich>
          </c:tx>
          <c:layout>
            <c:manualLayout>
              <c:xMode val="edge"/>
              <c:yMode val="edge"/>
              <c:x val="0.52519404483976884"/>
              <c:y val="0.97176842105263161"/>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7487472"/>
        <c:crossesAt val="0"/>
        <c:crossBetween val="midCat"/>
      </c:valAx>
      <c:valAx>
        <c:axId val="1467487472"/>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ru-RU"/>
                  <a:t>% за</a:t>
                </a:r>
                <a:endParaRPr lang="en-US"/>
              </a:p>
            </c:rich>
          </c:tx>
          <c:layout>
            <c:manualLayout>
              <c:xMode val="edge"/>
              <c:yMode val="edge"/>
              <c:x val="0"/>
              <c:y val="0.43011476608187127"/>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683680"/>
        <c:crosses val="autoZero"/>
        <c:crossBetween val="midCat"/>
        <c:majorUnit val="10"/>
      </c:valAx>
    </c:plotArea>
    <c:legend>
      <c:legendPos val="b"/>
      <c:layout>
        <c:manualLayout>
          <c:xMode val="edge"/>
          <c:yMode val="edge"/>
          <c:x val="4.5087845968712403E-2"/>
          <c:y val="0.11734371345029242"/>
          <c:w val="0.16772242278379462"/>
          <c:h val="0.53695964912280703"/>
        </c:manualLayout>
      </c:layout>
      <c:overlay val="0"/>
      <c:spPr>
        <a:solidFill>
          <a:srgbClr val="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889517213579214E-2"/>
          <c:y val="2.8515276088485149E-2"/>
          <c:w val="0.95261901191169107"/>
          <c:h val="0.92873874269005852"/>
        </c:manualLayout>
      </c:layout>
      <c:bubbleChart>
        <c:varyColors val="0"/>
        <c:ser>
          <c:idx val="8"/>
          <c:order val="0"/>
          <c:tx>
            <c:strRef>
              <c:f>'Мособлдума партии'!$AB$1</c:f>
              <c:strCache>
                <c:ptCount val="1"/>
                <c:pt idx="0">
                  <c:v>Родина</c:v>
                </c:pt>
              </c:strCache>
            </c:strRef>
          </c:tx>
          <c:spPr>
            <a:solidFill>
              <a:srgbClr val="9900FF">
                <a:alpha val="49804"/>
              </a:srgbClr>
            </a:solidFill>
            <a:ln w="25400">
              <a:noFill/>
            </a:ln>
          </c:spPr>
          <c:invertIfNegative val="0"/>
          <c:xVal>
            <c:numRef>
              <c:f>'Мособлдума партии'!$O$2:$O$183</c:f>
              <c:numCache>
                <c:formatCode>0.0</c:formatCode>
                <c:ptCount val="182"/>
                <c:pt idx="0">
                  <c:v>65.483476132190944</c:v>
                </c:pt>
                <c:pt idx="1">
                  <c:v>53.515625</c:v>
                </c:pt>
                <c:pt idx="2">
                  <c:v>54.8565676899849</c:v>
                </c:pt>
                <c:pt idx="3">
                  <c:v>54.665409990574929</c:v>
                </c:pt>
                <c:pt idx="4">
                  <c:v>48.402304871660554</c:v>
                </c:pt>
                <c:pt idx="5">
                  <c:v>50.359342915811091</c:v>
                </c:pt>
                <c:pt idx="6">
                  <c:v>59.511698880976603</c:v>
                </c:pt>
                <c:pt idx="7">
                  <c:v>73.105413105413106</c:v>
                </c:pt>
                <c:pt idx="8">
                  <c:v>71.602532878714072</c:v>
                </c:pt>
                <c:pt idx="9">
                  <c:v>36.124096897577559</c:v>
                </c:pt>
                <c:pt idx="10">
                  <c:v>25.402504472271914</c:v>
                </c:pt>
                <c:pt idx="11">
                  <c:v>72.779043280182236</c:v>
                </c:pt>
                <c:pt idx="12">
                  <c:v>50.76645626690712</c:v>
                </c:pt>
                <c:pt idx="13">
                  <c:v>35.336743393009378</c:v>
                </c:pt>
                <c:pt idx="14">
                  <c:v>46.317512274959086</c:v>
                </c:pt>
                <c:pt idx="15">
                  <c:v>29.405840886203425</c:v>
                </c:pt>
                <c:pt idx="16">
                  <c:v>43.734015345268546</c:v>
                </c:pt>
                <c:pt idx="17">
                  <c:v>31.410256410256409</c:v>
                </c:pt>
                <c:pt idx="18">
                  <c:v>48.484848484848484</c:v>
                </c:pt>
                <c:pt idx="19">
                  <c:v>35.881261595547308</c:v>
                </c:pt>
                <c:pt idx="20">
                  <c:v>24.388888888888889</c:v>
                </c:pt>
                <c:pt idx="21">
                  <c:v>46.110056925996204</c:v>
                </c:pt>
                <c:pt idx="22">
                  <c:v>30.428893905191874</c:v>
                </c:pt>
                <c:pt idx="23">
                  <c:v>35.842803030303031</c:v>
                </c:pt>
                <c:pt idx="24">
                  <c:v>30.996472663139329</c:v>
                </c:pt>
                <c:pt idx="25">
                  <c:v>37.5</c:v>
                </c:pt>
                <c:pt idx="26">
                  <c:v>45.486111111111114</c:v>
                </c:pt>
                <c:pt idx="27">
                  <c:v>30.472103004291846</c:v>
                </c:pt>
                <c:pt idx="28">
                  <c:v>38.564542046063202</c:v>
                </c:pt>
                <c:pt idx="29">
                  <c:v>34.21496904895892</c:v>
                </c:pt>
                <c:pt idx="30">
                  <c:v>38.358608385370204</c:v>
                </c:pt>
                <c:pt idx="31">
                  <c:v>29.568697198755004</c:v>
                </c:pt>
                <c:pt idx="32">
                  <c:v>38.906497622820922</c:v>
                </c:pt>
                <c:pt idx="33">
                  <c:v>60.397830018083184</c:v>
                </c:pt>
                <c:pt idx="34">
                  <c:v>40.557939914163093</c:v>
                </c:pt>
                <c:pt idx="35">
                  <c:v>60.643660333462584</c:v>
                </c:pt>
                <c:pt idx="36">
                  <c:v>80.892103676913806</c:v>
                </c:pt>
                <c:pt idx="37">
                  <c:v>37.185413456599896</c:v>
                </c:pt>
                <c:pt idx="38">
                  <c:v>39.089848308051344</c:v>
                </c:pt>
                <c:pt idx="39">
                  <c:v>39.518413597733712</c:v>
                </c:pt>
                <c:pt idx="40">
                  <c:v>34.831460674157306</c:v>
                </c:pt>
                <c:pt idx="41">
                  <c:v>30.410447761194028</c:v>
                </c:pt>
                <c:pt idx="42">
                  <c:v>33.382954968366207</c:v>
                </c:pt>
                <c:pt idx="43">
                  <c:v>33.17717206132879</c:v>
                </c:pt>
                <c:pt idx="44">
                  <c:v>66.638690725975664</c:v>
                </c:pt>
                <c:pt idx="45">
                  <c:v>76.323676323676324</c:v>
                </c:pt>
                <c:pt idx="46">
                  <c:v>63.553530751708429</c:v>
                </c:pt>
                <c:pt idx="47">
                  <c:v>38.345864661654133</c:v>
                </c:pt>
                <c:pt idx="48">
                  <c:v>46.447028423772608</c:v>
                </c:pt>
                <c:pt idx="49">
                  <c:v>54.770477047704773</c:v>
                </c:pt>
                <c:pt idx="50">
                  <c:v>39.671610169491522</c:v>
                </c:pt>
                <c:pt idx="51">
                  <c:v>36.756756756756758</c:v>
                </c:pt>
                <c:pt idx="52">
                  <c:v>41.573033707865171</c:v>
                </c:pt>
                <c:pt idx="53">
                  <c:v>77.949709864603477</c:v>
                </c:pt>
                <c:pt idx="54">
                  <c:v>33.753581661891118</c:v>
                </c:pt>
                <c:pt idx="55">
                  <c:v>33.72333103922918</c:v>
                </c:pt>
                <c:pt idx="56">
                  <c:v>42.37967914438503</c:v>
                </c:pt>
                <c:pt idx="57">
                  <c:v>34.80704383664294</c:v>
                </c:pt>
                <c:pt idx="58">
                  <c:v>27.331189710610932</c:v>
                </c:pt>
                <c:pt idx="59">
                  <c:v>40.369496855345915</c:v>
                </c:pt>
                <c:pt idx="60">
                  <c:v>36.407185628742518</c:v>
                </c:pt>
                <c:pt idx="61">
                  <c:v>43.839238498149129</c:v>
                </c:pt>
                <c:pt idx="62">
                  <c:v>26.411290322580644</c:v>
                </c:pt>
                <c:pt idx="63">
                  <c:v>26.433121019108281</c:v>
                </c:pt>
                <c:pt idx="64">
                  <c:v>29.407760381211709</c:v>
                </c:pt>
                <c:pt idx="65">
                  <c:v>56.201248049922</c:v>
                </c:pt>
                <c:pt idx="66">
                  <c:v>64.838255977496488</c:v>
                </c:pt>
                <c:pt idx="67">
                  <c:v>51.035502958579883</c:v>
                </c:pt>
                <c:pt idx="68">
                  <c:v>44.304522037779051</c:v>
                </c:pt>
                <c:pt idx="69">
                  <c:v>52.071316203460931</c:v>
                </c:pt>
                <c:pt idx="70">
                  <c:v>34.757118927973202</c:v>
                </c:pt>
                <c:pt idx="71">
                  <c:v>40.566873339238263</c:v>
                </c:pt>
                <c:pt idx="72">
                  <c:v>38.851802403204275</c:v>
                </c:pt>
                <c:pt idx="73">
                  <c:v>20.387305002689619</c:v>
                </c:pt>
                <c:pt idx="74">
                  <c:v>33.460076045627375</c:v>
                </c:pt>
                <c:pt idx="75">
                  <c:v>48.615384615384613</c:v>
                </c:pt>
                <c:pt idx="76">
                  <c:v>53.680078508341509</c:v>
                </c:pt>
                <c:pt idx="77">
                  <c:v>64.369747899159663</c:v>
                </c:pt>
                <c:pt idx="78">
                  <c:v>48.849441157133462</c:v>
                </c:pt>
                <c:pt idx="79">
                  <c:v>40.281690140845072</c:v>
                </c:pt>
                <c:pt idx="80">
                  <c:v>50.819672131147541</c:v>
                </c:pt>
                <c:pt idx="81">
                  <c:v>39.598662207357862</c:v>
                </c:pt>
                <c:pt idx="82">
                  <c:v>50.497787610619469</c:v>
                </c:pt>
                <c:pt idx="83">
                  <c:v>44.284294234592444</c:v>
                </c:pt>
                <c:pt idx="84">
                  <c:v>40.035693039857229</c:v>
                </c:pt>
                <c:pt idx="85">
                  <c:v>39.169139465875368</c:v>
                </c:pt>
                <c:pt idx="86">
                  <c:v>44.34270765206017</c:v>
                </c:pt>
                <c:pt idx="87">
                  <c:v>34.888888888888886</c:v>
                </c:pt>
                <c:pt idx="88">
                  <c:v>36.497890295358651</c:v>
                </c:pt>
                <c:pt idx="89">
                  <c:v>42.791645440652061</c:v>
                </c:pt>
                <c:pt idx="90">
                  <c:v>48.685594111461619</c:v>
                </c:pt>
                <c:pt idx="91">
                  <c:v>50.516089860352153</c:v>
                </c:pt>
                <c:pt idx="92">
                  <c:v>53.875379939209729</c:v>
                </c:pt>
                <c:pt idx="93">
                  <c:v>63.985148514851488</c:v>
                </c:pt>
                <c:pt idx="94">
                  <c:v>65.171137835337646</c:v>
                </c:pt>
                <c:pt idx="95">
                  <c:v>49.1869918699187</c:v>
                </c:pt>
                <c:pt idx="96">
                  <c:v>53.274139844617089</c:v>
                </c:pt>
                <c:pt idx="97">
                  <c:v>47.549224968579807</c:v>
                </c:pt>
                <c:pt idx="98">
                  <c:v>52.247557003257327</c:v>
                </c:pt>
                <c:pt idx="99">
                  <c:v>31.077504725897921</c:v>
                </c:pt>
                <c:pt idx="100">
                  <c:v>34.410181106216349</c:v>
                </c:pt>
                <c:pt idx="101">
                  <c:v>58.090452261306531</c:v>
                </c:pt>
                <c:pt idx="102">
                  <c:v>54.251012145748987</c:v>
                </c:pt>
                <c:pt idx="103">
                  <c:v>100</c:v>
                </c:pt>
                <c:pt idx="104">
                  <c:v>96.385542168674704</c:v>
                </c:pt>
                <c:pt idx="105">
                  <c:v>44.696539988655701</c:v>
                </c:pt>
                <c:pt idx="106">
                  <c:v>34.995296331138285</c:v>
                </c:pt>
                <c:pt idx="107">
                  <c:v>35.362694300518136</c:v>
                </c:pt>
                <c:pt idx="108">
                  <c:v>39.04</c:v>
                </c:pt>
                <c:pt idx="109">
                  <c:v>35.573122529644266</c:v>
                </c:pt>
                <c:pt idx="110">
                  <c:v>44.124423963133637</c:v>
                </c:pt>
                <c:pt idx="111">
                  <c:v>38.940448569218873</c:v>
                </c:pt>
                <c:pt idx="112">
                  <c:v>38.696701528559935</c:v>
                </c:pt>
                <c:pt idx="113">
                  <c:v>40.17918676774638</c:v>
                </c:pt>
                <c:pt idx="114">
                  <c:v>36.726039016115351</c:v>
                </c:pt>
                <c:pt idx="115">
                  <c:v>34.266958424507656</c:v>
                </c:pt>
                <c:pt idx="116">
                  <c:v>44.636471990464841</c:v>
                </c:pt>
                <c:pt idx="117">
                  <c:v>34.172839506172842</c:v>
                </c:pt>
                <c:pt idx="118">
                  <c:v>0</c:v>
                </c:pt>
                <c:pt idx="119">
                  <c:v>38.02469135802469</c:v>
                </c:pt>
                <c:pt idx="120">
                  <c:v>31.100045269352648</c:v>
                </c:pt>
                <c:pt idx="121">
                  <c:v>52.017167381974247</c:v>
                </c:pt>
                <c:pt idx="122">
                  <c:v>34.624937903626432</c:v>
                </c:pt>
                <c:pt idx="123">
                  <c:v>35.096391497775578</c:v>
                </c:pt>
                <c:pt idx="124">
                  <c:v>42.913385826771652</c:v>
                </c:pt>
                <c:pt idx="125">
                  <c:v>39.681637293916999</c:v>
                </c:pt>
                <c:pt idx="126">
                  <c:v>35.935455734845178</c:v>
                </c:pt>
                <c:pt idx="127">
                  <c:v>33.134191176470587</c:v>
                </c:pt>
                <c:pt idx="128">
                  <c:v>35.535535535535537</c:v>
                </c:pt>
                <c:pt idx="129">
                  <c:v>41.009946442234124</c:v>
                </c:pt>
                <c:pt idx="130">
                  <c:v>70.199587061252586</c:v>
                </c:pt>
                <c:pt idx="131">
                  <c:v>31.644736842105264</c:v>
                </c:pt>
                <c:pt idx="132">
                  <c:v>33.720930232558139</c:v>
                </c:pt>
                <c:pt idx="133">
                  <c:v>33.635729239357993</c:v>
                </c:pt>
                <c:pt idx="134">
                  <c:v>28.324324324324323</c:v>
                </c:pt>
                <c:pt idx="135">
                  <c:v>41.544291804831836</c:v>
                </c:pt>
                <c:pt idx="136">
                  <c:v>54.589371980676326</c:v>
                </c:pt>
                <c:pt idx="137">
                  <c:v>50.391644908616186</c:v>
                </c:pt>
                <c:pt idx="138">
                  <c:v>35.37117903930131</c:v>
                </c:pt>
                <c:pt idx="139">
                  <c:v>32.978251220594764</c:v>
                </c:pt>
                <c:pt idx="140">
                  <c:v>69.944444444444443</c:v>
                </c:pt>
                <c:pt idx="141">
                  <c:v>31.868640148011099</c:v>
                </c:pt>
                <c:pt idx="142">
                  <c:v>39.067055393586003</c:v>
                </c:pt>
                <c:pt idx="143">
                  <c:v>35.988620199146517</c:v>
                </c:pt>
                <c:pt idx="144">
                  <c:v>29.496402877697843</c:v>
                </c:pt>
                <c:pt idx="145">
                  <c:v>36.228482003129891</c:v>
                </c:pt>
                <c:pt idx="146">
                  <c:v>32.619775739041792</c:v>
                </c:pt>
                <c:pt idx="147">
                  <c:v>32.914704343275773</c:v>
                </c:pt>
                <c:pt idx="148">
                  <c:v>36.454703832752614</c:v>
                </c:pt>
                <c:pt idx="149">
                  <c:v>38.655077767612077</c:v>
                </c:pt>
                <c:pt idx="150">
                  <c:v>26.343679031037095</c:v>
                </c:pt>
                <c:pt idx="151">
                  <c:v>27.943661971830984</c:v>
                </c:pt>
                <c:pt idx="152">
                  <c:v>30.517423442449843</c:v>
                </c:pt>
                <c:pt idx="153">
                  <c:v>24.29951690821256</c:v>
                </c:pt>
                <c:pt idx="154">
                  <c:v>25.819672131147541</c:v>
                </c:pt>
                <c:pt idx="155">
                  <c:v>21.834574676597413</c:v>
                </c:pt>
                <c:pt idx="156">
                  <c:v>30.424366872005475</c:v>
                </c:pt>
                <c:pt idx="157">
                  <c:v>53.324468085106382</c:v>
                </c:pt>
                <c:pt idx="158">
                  <c:v>50.189155107187894</c:v>
                </c:pt>
                <c:pt idx="159">
                  <c:v>31.138070479491624</c:v>
                </c:pt>
                <c:pt idx="160">
                  <c:v>44.290976058931861</c:v>
                </c:pt>
                <c:pt idx="161">
                  <c:v>25.94183740912095</c:v>
                </c:pt>
                <c:pt idx="162">
                  <c:v>21.28082736674622</c:v>
                </c:pt>
                <c:pt idx="163">
                  <c:v>25.129982668977469</c:v>
                </c:pt>
                <c:pt idx="164">
                  <c:v>25.090415913200722</c:v>
                </c:pt>
                <c:pt idx="165">
                  <c:v>25.754443985117817</c:v>
                </c:pt>
                <c:pt idx="166">
                  <c:v>23.076923076923077</c:v>
                </c:pt>
                <c:pt idx="167">
                  <c:v>21.449766850360323</c:v>
                </c:pt>
                <c:pt idx="168">
                  <c:v>24.780256930358352</c:v>
                </c:pt>
                <c:pt idx="169">
                  <c:v>17.890520694259013</c:v>
                </c:pt>
                <c:pt idx="170">
                  <c:v>21.104018024784079</c:v>
                </c:pt>
                <c:pt idx="171">
                  <c:v>40.642129992169146</c:v>
                </c:pt>
                <c:pt idx="172">
                  <c:v>33.180987202925046</c:v>
                </c:pt>
                <c:pt idx="173">
                  <c:v>30.762987012987011</c:v>
                </c:pt>
                <c:pt idx="174">
                  <c:v>35.679374389051809</c:v>
                </c:pt>
                <c:pt idx="175">
                  <c:v>37.286135693215343</c:v>
                </c:pt>
                <c:pt idx="176">
                  <c:v>47.942754919499109</c:v>
                </c:pt>
                <c:pt idx="177">
                  <c:v>62.786745964316054</c:v>
                </c:pt>
                <c:pt idx="178">
                  <c:v>31.561461794019934</c:v>
                </c:pt>
                <c:pt idx="179">
                  <c:v>40.958268933539415</c:v>
                </c:pt>
                <c:pt idx="180">
                  <c:v>42.378048780487802</c:v>
                </c:pt>
                <c:pt idx="181">
                  <c:v>23.970037453183522</c:v>
                </c:pt>
              </c:numCache>
            </c:numRef>
          </c:xVal>
          <c:yVal>
            <c:numRef>
              <c:f>'Мособлдума партии'!$AB$2:$AB$183</c:f>
              <c:numCache>
                <c:formatCode>0.0</c:formatCode>
                <c:ptCount val="182"/>
                <c:pt idx="0">
                  <c:v>1.557632398753894</c:v>
                </c:pt>
                <c:pt idx="1">
                  <c:v>0.73221757322175729</c:v>
                </c:pt>
                <c:pt idx="2">
                  <c:v>0.73394495412844041</c:v>
                </c:pt>
                <c:pt idx="3">
                  <c:v>0.17301038062283736</c:v>
                </c:pt>
                <c:pt idx="4">
                  <c:v>1.6304347826086956</c:v>
                </c:pt>
                <c:pt idx="5">
                  <c:v>1.9407558733401431</c:v>
                </c:pt>
                <c:pt idx="6">
                  <c:v>1.1111111111111112</c:v>
                </c:pt>
                <c:pt idx="7">
                  <c:v>0.9419152276295133</c:v>
                </c:pt>
                <c:pt idx="8">
                  <c:v>0.61224489795918369</c:v>
                </c:pt>
                <c:pt idx="9">
                  <c:v>2.5029797377830749</c:v>
                </c:pt>
                <c:pt idx="10">
                  <c:v>1.056338028169014</c:v>
                </c:pt>
                <c:pt idx="11">
                  <c:v>0.3129890453834116</c:v>
                </c:pt>
                <c:pt idx="12">
                  <c:v>2.1314387211367674</c:v>
                </c:pt>
                <c:pt idx="13">
                  <c:v>1.2062726176115801</c:v>
                </c:pt>
                <c:pt idx="14">
                  <c:v>0.70671378091872794</c:v>
                </c:pt>
                <c:pt idx="15">
                  <c:v>2.0547945205479454</c:v>
                </c:pt>
                <c:pt idx="16">
                  <c:v>2.9239766081871346</c:v>
                </c:pt>
                <c:pt idx="17">
                  <c:v>1.5544041450777202</c:v>
                </c:pt>
                <c:pt idx="18">
                  <c:v>0.60096153846153844</c:v>
                </c:pt>
                <c:pt idx="19">
                  <c:v>1.0341261633919339</c:v>
                </c:pt>
                <c:pt idx="20">
                  <c:v>1.8223234624145785</c:v>
                </c:pt>
                <c:pt idx="21">
                  <c:v>1.6460905349794239</c:v>
                </c:pt>
                <c:pt idx="22">
                  <c:v>1.4836795252225519</c:v>
                </c:pt>
                <c:pt idx="23">
                  <c:v>0.92470277410832236</c:v>
                </c:pt>
                <c:pt idx="24">
                  <c:v>1.2820512820512822</c:v>
                </c:pt>
                <c:pt idx="25">
                  <c:v>2.5252525252525251</c:v>
                </c:pt>
                <c:pt idx="26">
                  <c:v>1.5267175572519085</c:v>
                </c:pt>
                <c:pt idx="27">
                  <c:v>0.70921985815602839</c:v>
                </c:pt>
                <c:pt idx="28">
                  <c:v>1.9553072625698324</c:v>
                </c:pt>
                <c:pt idx="29">
                  <c:v>1.8092105263157894</c:v>
                </c:pt>
                <c:pt idx="30">
                  <c:v>1.6279069767441861</c:v>
                </c:pt>
                <c:pt idx="31">
                  <c:v>2.4060150375939848</c:v>
                </c:pt>
                <c:pt idx="32">
                  <c:v>2.2403258655804481</c:v>
                </c:pt>
                <c:pt idx="33">
                  <c:v>0.89820359281437123</c:v>
                </c:pt>
                <c:pt idx="34">
                  <c:v>1.0582010582010581</c:v>
                </c:pt>
                <c:pt idx="35">
                  <c:v>0.95907928388746799</c:v>
                </c:pt>
                <c:pt idx="36">
                  <c:v>1.9374068554396424</c:v>
                </c:pt>
                <c:pt idx="37">
                  <c:v>1.5193370165745856</c:v>
                </c:pt>
                <c:pt idx="38">
                  <c:v>0.89552238805970152</c:v>
                </c:pt>
                <c:pt idx="39">
                  <c:v>1.6245487364620939</c:v>
                </c:pt>
                <c:pt idx="40">
                  <c:v>1.5873015873015872</c:v>
                </c:pt>
                <c:pt idx="41">
                  <c:v>3.6809815950920246</c:v>
                </c:pt>
                <c:pt idx="42">
                  <c:v>2.4526198439241917</c:v>
                </c:pt>
                <c:pt idx="43">
                  <c:v>2.1822849807445444</c:v>
                </c:pt>
                <c:pt idx="44">
                  <c:v>1.0088272383354351</c:v>
                </c:pt>
                <c:pt idx="45">
                  <c:v>0.52356020942408377</c:v>
                </c:pt>
                <c:pt idx="46">
                  <c:v>1.075268817204301</c:v>
                </c:pt>
                <c:pt idx="47">
                  <c:v>1.6339869281045751</c:v>
                </c:pt>
                <c:pt idx="48">
                  <c:v>2.642559109874826</c:v>
                </c:pt>
                <c:pt idx="49">
                  <c:v>2.1720969089390141</c:v>
                </c:pt>
                <c:pt idx="50">
                  <c:v>1.8691588785046729</c:v>
                </c:pt>
                <c:pt idx="51">
                  <c:v>2.6143790849673203</c:v>
                </c:pt>
                <c:pt idx="52">
                  <c:v>2.5604551920341394</c:v>
                </c:pt>
                <c:pt idx="53">
                  <c:v>1.2406947890818858</c:v>
                </c:pt>
                <c:pt idx="54">
                  <c:v>1.7006802721088434</c:v>
                </c:pt>
                <c:pt idx="55">
                  <c:v>2.6530612244897958</c:v>
                </c:pt>
                <c:pt idx="56">
                  <c:v>1.4195583596214512</c:v>
                </c:pt>
                <c:pt idx="57">
                  <c:v>1.3993541442411195</c:v>
                </c:pt>
                <c:pt idx="58">
                  <c:v>1.9607843137254901</c:v>
                </c:pt>
                <c:pt idx="59">
                  <c:v>2.1421616358325219</c:v>
                </c:pt>
                <c:pt idx="60">
                  <c:v>0.49504950495049505</c:v>
                </c:pt>
                <c:pt idx="61">
                  <c:v>0.72376357056694818</c:v>
                </c:pt>
                <c:pt idx="62">
                  <c:v>2.6717557251908395</c:v>
                </c:pt>
                <c:pt idx="63">
                  <c:v>0</c:v>
                </c:pt>
                <c:pt idx="64">
                  <c:v>1.6203703703703705</c:v>
                </c:pt>
                <c:pt idx="65">
                  <c:v>1.2491325468424705</c:v>
                </c:pt>
                <c:pt idx="66">
                  <c:v>2.1691973969631237</c:v>
                </c:pt>
                <c:pt idx="67">
                  <c:v>1.1594202898550725</c:v>
                </c:pt>
                <c:pt idx="68">
                  <c:v>1.6795865633074936</c:v>
                </c:pt>
                <c:pt idx="69">
                  <c:v>1.4098690835850958</c:v>
                </c:pt>
                <c:pt idx="70">
                  <c:v>2.4096385542168677</c:v>
                </c:pt>
                <c:pt idx="71">
                  <c:v>1.5317286652078774</c:v>
                </c:pt>
                <c:pt idx="72">
                  <c:v>2.0833333333333335</c:v>
                </c:pt>
                <c:pt idx="73">
                  <c:v>2.1108179419525066</c:v>
                </c:pt>
                <c:pt idx="74">
                  <c:v>1.8264840182648401</c:v>
                </c:pt>
                <c:pt idx="75">
                  <c:v>1.2658227848101267</c:v>
                </c:pt>
                <c:pt idx="76">
                  <c:v>1.0999083409715857</c:v>
                </c:pt>
                <c:pt idx="77">
                  <c:v>1.4586709886547813</c:v>
                </c:pt>
                <c:pt idx="78">
                  <c:v>1.4804845222072678</c:v>
                </c:pt>
                <c:pt idx="79">
                  <c:v>2.0979020979020979</c:v>
                </c:pt>
                <c:pt idx="80">
                  <c:v>1.6774193548387097</c:v>
                </c:pt>
                <c:pt idx="81">
                  <c:v>2.3648648648648649</c:v>
                </c:pt>
                <c:pt idx="82">
                  <c:v>2.738225629791895</c:v>
                </c:pt>
                <c:pt idx="83">
                  <c:v>2.5813692480359145</c:v>
                </c:pt>
                <c:pt idx="84">
                  <c:v>2.6745913818722138</c:v>
                </c:pt>
                <c:pt idx="85">
                  <c:v>1.8181818181818181</c:v>
                </c:pt>
                <c:pt idx="86">
                  <c:v>1.6224188790560472</c:v>
                </c:pt>
                <c:pt idx="87">
                  <c:v>1.2738853503184713</c:v>
                </c:pt>
                <c:pt idx="88">
                  <c:v>1.7054263565891472</c:v>
                </c:pt>
                <c:pt idx="89">
                  <c:v>0.95238095238095233</c:v>
                </c:pt>
                <c:pt idx="90">
                  <c:v>0.64794816414686829</c:v>
                </c:pt>
                <c:pt idx="91">
                  <c:v>1.4423076923076923</c:v>
                </c:pt>
                <c:pt idx="92">
                  <c:v>0.98730606488011285</c:v>
                </c:pt>
                <c:pt idx="93">
                  <c:v>0.4513217279174726</c:v>
                </c:pt>
                <c:pt idx="94">
                  <c:v>0.78236130867709819</c:v>
                </c:pt>
                <c:pt idx="95">
                  <c:v>2.9752066115702478</c:v>
                </c:pt>
                <c:pt idx="96">
                  <c:v>0</c:v>
                </c:pt>
                <c:pt idx="97">
                  <c:v>1.5859030837004404</c:v>
                </c:pt>
                <c:pt idx="98">
                  <c:v>1.6209476309226933</c:v>
                </c:pt>
                <c:pt idx="99">
                  <c:v>1.2165450121654502</c:v>
                </c:pt>
                <c:pt idx="100">
                  <c:v>1.2802275960170697</c:v>
                </c:pt>
                <c:pt idx="101">
                  <c:v>0.95652173913043481</c:v>
                </c:pt>
                <c:pt idx="102">
                  <c:v>1.1299435028248588</c:v>
                </c:pt>
                <c:pt idx="103">
                  <c:v>0</c:v>
                </c:pt>
                <c:pt idx="104">
                  <c:v>1.25</c:v>
                </c:pt>
                <c:pt idx="105">
                  <c:v>1.2690355329949239</c:v>
                </c:pt>
                <c:pt idx="106">
                  <c:v>1.3440860215053763</c:v>
                </c:pt>
                <c:pt idx="107">
                  <c:v>2.3199023199023201</c:v>
                </c:pt>
                <c:pt idx="108">
                  <c:v>1.6597510373443984</c:v>
                </c:pt>
                <c:pt idx="109">
                  <c:v>2.6666666666666665</c:v>
                </c:pt>
                <c:pt idx="110">
                  <c:v>1.7591339648173208</c:v>
                </c:pt>
                <c:pt idx="111">
                  <c:v>1.5690376569037656</c:v>
                </c:pt>
                <c:pt idx="112">
                  <c:v>2.7083333333333335</c:v>
                </c:pt>
                <c:pt idx="113">
                  <c:v>1.0291595197255574</c:v>
                </c:pt>
                <c:pt idx="114">
                  <c:v>3.2482598607888633</c:v>
                </c:pt>
                <c:pt idx="115">
                  <c:v>2.1794871794871793</c:v>
                </c:pt>
                <c:pt idx="116">
                  <c:v>1.4745308310991958</c:v>
                </c:pt>
                <c:pt idx="117">
                  <c:v>1.7341040462427746</c:v>
                </c:pt>
                <c:pt idx="118">
                  <c:v>0</c:v>
                </c:pt>
                <c:pt idx="119">
                  <c:v>1.8418201516793067</c:v>
                </c:pt>
                <c:pt idx="120">
                  <c:v>1.7467248908296944</c:v>
                </c:pt>
                <c:pt idx="121">
                  <c:v>1.3201320132013201</c:v>
                </c:pt>
                <c:pt idx="122">
                  <c:v>2.4024024024024024</c:v>
                </c:pt>
                <c:pt idx="123">
                  <c:v>1.9858156028368794</c:v>
                </c:pt>
                <c:pt idx="124">
                  <c:v>1.7654476670870114</c:v>
                </c:pt>
                <c:pt idx="125">
                  <c:v>2.7259684361549499</c:v>
                </c:pt>
                <c:pt idx="126">
                  <c:v>1.941747572815534</c:v>
                </c:pt>
                <c:pt idx="127">
                  <c:v>2.0804438280166435</c:v>
                </c:pt>
                <c:pt idx="128">
                  <c:v>1.8309859154929577</c:v>
                </c:pt>
                <c:pt idx="129">
                  <c:v>2.6119402985074629</c:v>
                </c:pt>
                <c:pt idx="130">
                  <c:v>1.941747572815534</c:v>
                </c:pt>
                <c:pt idx="131">
                  <c:v>1.4553014553014554</c:v>
                </c:pt>
                <c:pt idx="132">
                  <c:v>1.8255578093306288</c:v>
                </c:pt>
                <c:pt idx="133">
                  <c:v>1.4522821576763485</c:v>
                </c:pt>
                <c:pt idx="134">
                  <c:v>2.0992366412213741</c:v>
                </c:pt>
                <c:pt idx="135">
                  <c:v>1.4823261117445838</c:v>
                </c:pt>
                <c:pt idx="136">
                  <c:v>1.0619469026548674</c:v>
                </c:pt>
                <c:pt idx="137">
                  <c:v>0.93360995850622408</c:v>
                </c:pt>
                <c:pt idx="138">
                  <c:v>1.6883116883116882</c:v>
                </c:pt>
                <c:pt idx="139">
                  <c:v>2.9609690444145356</c:v>
                </c:pt>
                <c:pt idx="140">
                  <c:v>1.2708498808578237</c:v>
                </c:pt>
                <c:pt idx="141">
                  <c:v>1.5965166908563135</c:v>
                </c:pt>
                <c:pt idx="142">
                  <c:v>2.1437578814627996</c:v>
                </c:pt>
                <c:pt idx="143">
                  <c:v>1.2569832402234637</c:v>
                </c:pt>
                <c:pt idx="144">
                  <c:v>1.897018970189702</c:v>
                </c:pt>
                <c:pt idx="145">
                  <c:v>1.079913606911447</c:v>
                </c:pt>
                <c:pt idx="146">
                  <c:v>0.9375</c:v>
                </c:pt>
                <c:pt idx="147">
                  <c:v>1.9077901430842608</c:v>
                </c:pt>
                <c:pt idx="148">
                  <c:v>2.0383693045563551</c:v>
                </c:pt>
                <c:pt idx="149">
                  <c:v>1.3033175355450237</c:v>
                </c:pt>
                <c:pt idx="150">
                  <c:v>1.0057471264367817</c:v>
                </c:pt>
                <c:pt idx="151">
                  <c:v>2.4193548387096775</c:v>
                </c:pt>
                <c:pt idx="152">
                  <c:v>1.9031141868512111</c:v>
                </c:pt>
                <c:pt idx="153">
                  <c:v>1.3916500994035785</c:v>
                </c:pt>
                <c:pt idx="154">
                  <c:v>2.2927689594356262</c:v>
                </c:pt>
                <c:pt idx="155">
                  <c:v>0.53859964093357271</c:v>
                </c:pt>
                <c:pt idx="156">
                  <c:v>0.67491563554555678</c:v>
                </c:pt>
                <c:pt idx="157">
                  <c:v>1.5037593984962405</c:v>
                </c:pt>
                <c:pt idx="158">
                  <c:v>3.8888888888888888</c:v>
                </c:pt>
                <c:pt idx="159">
                  <c:v>1.6917293233082706</c:v>
                </c:pt>
                <c:pt idx="160">
                  <c:v>1.0395010395010396</c:v>
                </c:pt>
                <c:pt idx="161">
                  <c:v>1.40485312899106</c:v>
                </c:pt>
                <c:pt idx="162">
                  <c:v>0.74766355140186913</c:v>
                </c:pt>
                <c:pt idx="163">
                  <c:v>2.245250431778929</c:v>
                </c:pt>
                <c:pt idx="164">
                  <c:v>1.2612612612612613</c:v>
                </c:pt>
                <c:pt idx="165">
                  <c:v>1.926163723916533</c:v>
                </c:pt>
                <c:pt idx="166">
                  <c:v>1.629327902240326</c:v>
                </c:pt>
                <c:pt idx="167">
                  <c:v>2.3856858846918487</c:v>
                </c:pt>
                <c:pt idx="168">
                  <c:v>2.0463847203274215</c:v>
                </c:pt>
                <c:pt idx="169">
                  <c:v>3.125</c:v>
                </c:pt>
                <c:pt idx="170">
                  <c:v>1.6014234875444839</c:v>
                </c:pt>
                <c:pt idx="171">
                  <c:v>0.77071290944123316</c:v>
                </c:pt>
                <c:pt idx="172">
                  <c:v>1.6528925619834711</c:v>
                </c:pt>
                <c:pt idx="173">
                  <c:v>1.3192612137203166</c:v>
                </c:pt>
                <c:pt idx="174">
                  <c:v>2.7397260273972601</c:v>
                </c:pt>
                <c:pt idx="175">
                  <c:v>1.9503546099290781</c:v>
                </c:pt>
                <c:pt idx="176">
                  <c:v>3.2338308457711444</c:v>
                </c:pt>
                <c:pt idx="177">
                  <c:v>1.0148849797023005</c:v>
                </c:pt>
                <c:pt idx="178">
                  <c:v>1.4035087719298245</c:v>
                </c:pt>
                <c:pt idx="179">
                  <c:v>0.56603773584905659</c:v>
                </c:pt>
                <c:pt idx="180">
                  <c:v>1.8705035971223021</c:v>
                </c:pt>
                <c:pt idx="181">
                  <c:v>2.34375</c:v>
                </c:pt>
              </c:numCache>
            </c:numRef>
          </c:yVal>
          <c:bubbleSize>
            <c:numRef>
              <c:f>'Мособлдума партии'!$J$2:$J$183</c:f>
              <c:numCache>
                <c:formatCode>General</c:formatCode>
                <c:ptCount val="182"/>
                <c:pt idx="0">
                  <c:v>2451</c:v>
                </c:pt>
                <c:pt idx="1">
                  <c:v>1792</c:v>
                </c:pt>
                <c:pt idx="2">
                  <c:v>1987</c:v>
                </c:pt>
                <c:pt idx="3">
                  <c:v>2122</c:v>
                </c:pt>
                <c:pt idx="4">
                  <c:v>1909</c:v>
                </c:pt>
                <c:pt idx="5">
                  <c:v>1948</c:v>
                </c:pt>
                <c:pt idx="6">
                  <c:v>1966</c:v>
                </c:pt>
                <c:pt idx="7">
                  <c:v>1755</c:v>
                </c:pt>
                <c:pt idx="8">
                  <c:v>2053</c:v>
                </c:pt>
                <c:pt idx="9">
                  <c:v>2353</c:v>
                </c:pt>
                <c:pt idx="10">
                  <c:v>2236</c:v>
                </c:pt>
                <c:pt idx="11">
                  <c:v>878</c:v>
                </c:pt>
                <c:pt idx="12">
                  <c:v>1109</c:v>
                </c:pt>
                <c:pt idx="13">
                  <c:v>2346</c:v>
                </c:pt>
                <c:pt idx="14">
                  <c:v>1222</c:v>
                </c:pt>
                <c:pt idx="15">
                  <c:v>1986</c:v>
                </c:pt>
                <c:pt idx="16">
                  <c:v>391</c:v>
                </c:pt>
                <c:pt idx="17">
                  <c:v>1248</c:v>
                </c:pt>
                <c:pt idx="18">
                  <c:v>1716</c:v>
                </c:pt>
                <c:pt idx="19">
                  <c:v>2695</c:v>
                </c:pt>
                <c:pt idx="20">
                  <c:v>1800</c:v>
                </c:pt>
                <c:pt idx="21">
                  <c:v>2108</c:v>
                </c:pt>
                <c:pt idx="22">
                  <c:v>2215</c:v>
                </c:pt>
                <c:pt idx="23">
                  <c:v>2112</c:v>
                </c:pt>
                <c:pt idx="24">
                  <c:v>2268</c:v>
                </c:pt>
                <c:pt idx="25">
                  <c:v>2112</c:v>
                </c:pt>
                <c:pt idx="26">
                  <c:v>2016</c:v>
                </c:pt>
                <c:pt idx="27">
                  <c:v>2330</c:v>
                </c:pt>
                <c:pt idx="28">
                  <c:v>1867</c:v>
                </c:pt>
                <c:pt idx="29">
                  <c:v>1777</c:v>
                </c:pt>
                <c:pt idx="30">
                  <c:v>1121</c:v>
                </c:pt>
                <c:pt idx="31">
                  <c:v>2249</c:v>
                </c:pt>
                <c:pt idx="32">
                  <c:v>1262</c:v>
                </c:pt>
                <c:pt idx="33">
                  <c:v>553</c:v>
                </c:pt>
                <c:pt idx="34">
                  <c:v>932</c:v>
                </c:pt>
                <c:pt idx="35">
                  <c:v>2579</c:v>
                </c:pt>
                <c:pt idx="36">
                  <c:v>1659</c:v>
                </c:pt>
                <c:pt idx="37">
                  <c:v>1947</c:v>
                </c:pt>
                <c:pt idx="38">
                  <c:v>857</c:v>
                </c:pt>
                <c:pt idx="39">
                  <c:v>1412</c:v>
                </c:pt>
                <c:pt idx="40">
                  <c:v>2047</c:v>
                </c:pt>
                <c:pt idx="41">
                  <c:v>536</c:v>
                </c:pt>
                <c:pt idx="42">
                  <c:v>2687</c:v>
                </c:pt>
                <c:pt idx="43">
                  <c:v>2348</c:v>
                </c:pt>
                <c:pt idx="44">
                  <c:v>2383</c:v>
                </c:pt>
                <c:pt idx="45">
                  <c:v>1001</c:v>
                </c:pt>
                <c:pt idx="46">
                  <c:v>439</c:v>
                </c:pt>
                <c:pt idx="47">
                  <c:v>1596</c:v>
                </c:pt>
                <c:pt idx="48">
                  <c:v>1548</c:v>
                </c:pt>
                <c:pt idx="49">
                  <c:v>2222</c:v>
                </c:pt>
                <c:pt idx="50">
                  <c:v>1888</c:v>
                </c:pt>
                <c:pt idx="51">
                  <c:v>1665</c:v>
                </c:pt>
                <c:pt idx="52">
                  <c:v>1691</c:v>
                </c:pt>
                <c:pt idx="53">
                  <c:v>517</c:v>
                </c:pt>
                <c:pt idx="54">
                  <c:v>1745</c:v>
                </c:pt>
                <c:pt idx="55">
                  <c:v>1453</c:v>
                </c:pt>
                <c:pt idx="56">
                  <c:v>1496</c:v>
                </c:pt>
                <c:pt idx="57">
                  <c:v>2669</c:v>
                </c:pt>
                <c:pt idx="58">
                  <c:v>2799</c:v>
                </c:pt>
                <c:pt idx="59">
                  <c:v>2544</c:v>
                </c:pt>
                <c:pt idx="60">
                  <c:v>1670</c:v>
                </c:pt>
                <c:pt idx="61">
                  <c:v>1891</c:v>
                </c:pt>
                <c:pt idx="62">
                  <c:v>1984</c:v>
                </c:pt>
                <c:pt idx="63">
                  <c:v>628</c:v>
                </c:pt>
                <c:pt idx="64">
                  <c:v>1469</c:v>
                </c:pt>
                <c:pt idx="65">
                  <c:v>2564</c:v>
                </c:pt>
                <c:pt idx="66">
                  <c:v>711</c:v>
                </c:pt>
                <c:pt idx="67">
                  <c:v>676</c:v>
                </c:pt>
                <c:pt idx="68">
                  <c:v>1747</c:v>
                </c:pt>
                <c:pt idx="69">
                  <c:v>1907</c:v>
                </c:pt>
                <c:pt idx="70">
                  <c:v>1194</c:v>
                </c:pt>
                <c:pt idx="71">
                  <c:v>1129</c:v>
                </c:pt>
                <c:pt idx="72">
                  <c:v>1498</c:v>
                </c:pt>
                <c:pt idx="73">
                  <c:v>1859</c:v>
                </c:pt>
                <c:pt idx="74">
                  <c:v>1315</c:v>
                </c:pt>
                <c:pt idx="75">
                  <c:v>1300</c:v>
                </c:pt>
                <c:pt idx="76">
                  <c:v>2038</c:v>
                </c:pt>
                <c:pt idx="77">
                  <c:v>1190</c:v>
                </c:pt>
                <c:pt idx="78">
                  <c:v>1521</c:v>
                </c:pt>
                <c:pt idx="79">
                  <c:v>710</c:v>
                </c:pt>
                <c:pt idx="80">
                  <c:v>1525</c:v>
                </c:pt>
                <c:pt idx="81">
                  <c:v>1495</c:v>
                </c:pt>
                <c:pt idx="82">
                  <c:v>1808</c:v>
                </c:pt>
                <c:pt idx="83">
                  <c:v>2012</c:v>
                </c:pt>
                <c:pt idx="84">
                  <c:v>1681</c:v>
                </c:pt>
                <c:pt idx="85">
                  <c:v>1685</c:v>
                </c:pt>
                <c:pt idx="86">
                  <c:v>1529</c:v>
                </c:pt>
                <c:pt idx="87">
                  <c:v>1800</c:v>
                </c:pt>
                <c:pt idx="88">
                  <c:v>1896</c:v>
                </c:pt>
                <c:pt idx="89">
                  <c:v>1963</c:v>
                </c:pt>
                <c:pt idx="90">
                  <c:v>1902</c:v>
                </c:pt>
                <c:pt idx="91">
                  <c:v>1647</c:v>
                </c:pt>
                <c:pt idx="92">
                  <c:v>1316</c:v>
                </c:pt>
                <c:pt idx="93">
                  <c:v>2424</c:v>
                </c:pt>
                <c:pt idx="94">
                  <c:v>2162</c:v>
                </c:pt>
                <c:pt idx="95">
                  <c:v>1230</c:v>
                </c:pt>
                <c:pt idx="96">
                  <c:v>901</c:v>
                </c:pt>
                <c:pt idx="97">
                  <c:v>2387</c:v>
                </c:pt>
                <c:pt idx="98">
                  <c:v>1535</c:v>
                </c:pt>
                <c:pt idx="99">
                  <c:v>2645</c:v>
                </c:pt>
                <c:pt idx="100">
                  <c:v>2043</c:v>
                </c:pt>
                <c:pt idx="101">
                  <c:v>1990</c:v>
                </c:pt>
                <c:pt idx="102">
                  <c:v>988</c:v>
                </c:pt>
                <c:pt idx="103">
                  <c:v>132</c:v>
                </c:pt>
                <c:pt idx="104">
                  <c:v>83</c:v>
                </c:pt>
                <c:pt idx="105">
                  <c:v>1763</c:v>
                </c:pt>
                <c:pt idx="106">
                  <c:v>1063</c:v>
                </c:pt>
                <c:pt idx="107">
                  <c:v>2316</c:v>
                </c:pt>
                <c:pt idx="108">
                  <c:v>1250</c:v>
                </c:pt>
                <c:pt idx="109">
                  <c:v>1265</c:v>
                </c:pt>
                <c:pt idx="110">
                  <c:v>1736</c:v>
                </c:pt>
                <c:pt idx="111">
                  <c:v>2586</c:v>
                </c:pt>
                <c:pt idx="112">
                  <c:v>1243</c:v>
                </c:pt>
                <c:pt idx="113">
                  <c:v>1451</c:v>
                </c:pt>
                <c:pt idx="114">
                  <c:v>1179</c:v>
                </c:pt>
                <c:pt idx="115">
                  <c:v>2285</c:v>
                </c:pt>
                <c:pt idx="116">
                  <c:v>1678</c:v>
                </c:pt>
                <c:pt idx="117">
                  <c:v>2025</c:v>
                </c:pt>
                <c:pt idx="118">
                  <c:v>0</c:v>
                </c:pt>
                <c:pt idx="119">
                  <c:v>2430</c:v>
                </c:pt>
                <c:pt idx="120">
                  <c:v>2209</c:v>
                </c:pt>
                <c:pt idx="121">
                  <c:v>2330</c:v>
                </c:pt>
                <c:pt idx="122">
                  <c:v>2013</c:v>
                </c:pt>
                <c:pt idx="123">
                  <c:v>2023</c:v>
                </c:pt>
                <c:pt idx="124">
                  <c:v>2032</c:v>
                </c:pt>
                <c:pt idx="125">
                  <c:v>1759</c:v>
                </c:pt>
                <c:pt idx="126">
                  <c:v>2293</c:v>
                </c:pt>
                <c:pt idx="127">
                  <c:v>2176</c:v>
                </c:pt>
                <c:pt idx="128">
                  <c:v>1998</c:v>
                </c:pt>
                <c:pt idx="129">
                  <c:v>1307</c:v>
                </c:pt>
                <c:pt idx="130">
                  <c:v>1453</c:v>
                </c:pt>
                <c:pt idx="131">
                  <c:v>1520</c:v>
                </c:pt>
                <c:pt idx="132">
                  <c:v>1462</c:v>
                </c:pt>
                <c:pt idx="133">
                  <c:v>1433</c:v>
                </c:pt>
                <c:pt idx="134">
                  <c:v>1850</c:v>
                </c:pt>
                <c:pt idx="135">
                  <c:v>2111</c:v>
                </c:pt>
                <c:pt idx="136">
                  <c:v>1035</c:v>
                </c:pt>
                <c:pt idx="137">
                  <c:v>1915</c:v>
                </c:pt>
                <c:pt idx="138">
                  <c:v>2290</c:v>
                </c:pt>
                <c:pt idx="139">
                  <c:v>2253</c:v>
                </c:pt>
                <c:pt idx="140">
                  <c:v>1800</c:v>
                </c:pt>
                <c:pt idx="141">
                  <c:v>2162</c:v>
                </c:pt>
                <c:pt idx="142">
                  <c:v>2058</c:v>
                </c:pt>
                <c:pt idx="143">
                  <c:v>2109</c:v>
                </c:pt>
                <c:pt idx="144">
                  <c:v>1251</c:v>
                </c:pt>
                <c:pt idx="145">
                  <c:v>1278</c:v>
                </c:pt>
                <c:pt idx="146">
                  <c:v>981</c:v>
                </c:pt>
                <c:pt idx="147">
                  <c:v>1911</c:v>
                </c:pt>
                <c:pt idx="148">
                  <c:v>2296</c:v>
                </c:pt>
                <c:pt idx="149">
                  <c:v>2186</c:v>
                </c:pt>
                <c:pt idx="150">
                  <c:v>2642</c:v>
                </c:pt>
                <c:pt idx="151">
                  <c:v>1775</c:v>
                </c:pt>
                <c:pt idx="152">
                  <c:v>1894</c:v>
                </c:pt>
                <c:pt idx="153">
                  <c:v>2070</c:v>
                </c:pt>
                <c:pt idx="154">
                  <c:v>2196</c:v>
                </c:pt>
                <c:pt idx="155">
                  <c:v>2551</c:v>
                </c:pt>
                <c:pt idx="156">
                  <c:v>2922</c:v>
                </c:pt>
                <c:pt idx="157">
                  <c:v>752</c:v>
                </c:pt>
                <c:pt idx="158">
                  <c:v>793</c:v>
                </c:pt>
                <c:pt idx="159">
                  <c:v>1731</c:v>
                </c:pt>
                <c:pt idx="160">
                  <c:v>1086</c:v>
                </c:pt>
                <c:pt idx="161">
                  <c:v>3026</c:v>
                </c:pt>
                <c:pt idx="162">
                  <c:v>2514</c:v>
                </c:pt>
                <c:pt idx="163">
                  <c:v>2308</c:v>
                </c:pt>
                <c:pt idx="164">
                  <c:v>2212</c:v>
                </c:pt>
                <c:pt idx="165">
                  <c:v>2419</c:v>
                </c:pt>
                <c:pt idx="166">
                  <c:v>2132</c:v>
                </c:pt>
                <c:pt idx="167">
                  <c:v>2359</c:v>
                </c:pt>
                <c:pt idx="168">
                  <c:v>2958</c:v>
                </c:pt>
                <c:pt idx="169">
                  <c:v>749</c:v>
                </c:pt>
                <c:pt idx="170">
                  <c:v>2663</c:v>
                </c:pt>
                <c:pt idx="171">
                  <c:v>1277</c:v>
                </c:pt>
                <c:pt idx="172">
                  <c:v>1094</c:v>
                </c:pt>
                <c:pt idx="173">
                  <c:v>1232</c:v>
                </c:pt>
                <c:pt idx="174">
                  <c:v>1023</c:v>
                </c:pt>
                <c:pt idx="175">
                  <c:v>1695</c:v>
                </c:pt>
                <c:pt idx="176">
                  <c:v>1677</c:v>
                </c:pt>
                <c:pt idx="177">
                  <c:v>2354</c:v>
                </c:pt>
                <c:pt idx="178">
                  <c:v>1806</c:v>
                </c:pt>
                <c:pt idx="179">
                  <c:v>1294</c:v>
                </c:pt>
                <c:pt idx="180">
                  <c:v>1640</c:v>
                </c:pt>
                <c:pt idx="181">
                  <c:v>1068</c:v>
                </c:pt>
              </c:numCache>
            </c:numRef>
          </c:bubbleSize>
          <c:bubble3D val="0"/>
          <c:extLst>
            <c:ext xmlns:c16="http://schemas.microsoft.com/office/drawing/2014/chart" uri="{C3380CC4-5D6E-409C-BE32-E72D297353CC}">
              <c16:uniqueId val="{00000000-2D10-4E5E-9489-B18E1CFA942D}"/>
            </c:ext>
          </c:extLst>
        </c:ser>
        <c:ser>
          <c:idx val="9"/>
          <c:order val="1"/>
          <c:tx>
            <c:strRef>
              <c:f>'Мособлдума партии'!$AD$1</c:f>
              <c:strCache>
                <c:ptCount val="1"/>
                <c:pt idx="0">
                  <c:v>ЛДПР</c:v>
                </c:pt>
              </c:strCache>
            </c:strRef>
          </c:tx>
          <c:spPr>
            <a:solidFill>
              <a:srgbClr val="FF9900">
                <a:alpha val="49804"/>
              </a:srgbClr>
            </a:solidFill>
            <a:ln w="25400"/>
          </c:spPr>
          <c:invertIfNegative val="0"/>
          <c:xVal>
            <c:numRef>
              <c:f>'Мособлдума партии'!$O$2:$O$183</c:f>
              <c:numCache>
                <c:formatCode>0.0</c:formatCode>
                <c:ptCount val="182"/>
                <c:pt idx="0">
                  <c:v>65.483476132190944</c:v>
                </c:pt>
                <c:pt idx="1">
                  <c:v>53.515625</c:v>
                </c:pt>
                <c:pt idx="2">
                  <c:v>54.8565676899849</c:v>
                </c:pt>
                <c:pt idx="3">
                  <c:v>54.665409990574929</c:v>
                </c:pt>
                <c:pt idx="4">
                  <c:v>48.402304871660554</c:v>
                </c:pt>
                <c:pt idx="5">
                  <c:v>50.359342915811091</c:v>
                </c:pt>
                <c:pt idx="6">
                  <c:v>59.511698880976603</c:v>
                </c:pt>
                <c:pt idx="7">
                  <c:v>73.105413105413106</c:v>
                </c:pt>
                <c:pt idx="8">
                  <c:v>71.602532878714072</c:v>
                </c:pt>
                <c:pt idx="9">
                  <c:v>36.124096897577559</c:v>
                </c:pt>
                <c:pt idx="10">
                  <c:v>25.402504472271914</c:v>
                </c:pt>
                <c:pt idx="11">
                  <c:v>72.779043280182236</c:v>
                </c:pt>
                <c:pt idx="12">
                  <c:v>50.76645626690712</c:v>
                </c:pt>
                <c:pt idx="13">
                  <c:v>35.336743393009378</c:v>
                </c:pt>
                <c:pt idx="14">
                  <c:v>46.317512274959086</c:v>
                </c:pt>
                <c:pt idx="15">
                  <c:v>29.405840886203425</c:v>
                </c:pt>
                <c:pt idx="16">
                  <c:v>43.734015345268546</c:v>
                </c:pt>
                <c:pt idx="17">
                  <c:v>31.410256410256409</c:v>
                </c:pt>
                <c:pt idx="18">
                  <c:v>48.484848484848484</c:v>
                </c:pt>
                <c:pt idx="19">
                  <c:v>35.881261595547308</c:v>
                </c:pt>
                <c:pt idx="20">
                  <c:v>24.388888888888889</c:v>
                </c:pt>
                <c:pt idx="21">
                  <c:v>46.110056925996204</c:v>
                </c:pt>
                <c:pt idx="22">
                  <c:v>30.428893905191874</c:v>
                </c:pt>
                <c:pt idx="23">
                  <c:v>35.842803030303031</c:v>
                </c:pt>
                <c:pt idx="24">
                  <c:v>30.996472663139329</c:v>
                </c:pt>
                <c:pt idx="25">
                  <c:v>37.5</c:v>
                </c:pt>
                <c:pt idx="26">
                  <c:v>45.486111111111114</c:v>
                </c:pt>
                <c:pt idx="27">
                  <c:v>30.472103004291846</c:v>
                </c:pt>
                <c:pt idx="28">
                  <c:v>38.564542046063202</c:v>
                </c:pt>
                <c:pt idx="29">
                  <c:v>34.21496904895892</c:v>
                </c:pt>
                <c:pt idx="30">
                  <c:v>38.358608385370204</c:v>
                </c:pt>
                <c:pt idx="31">
                  <c:v>29.568697198755004</c:v>
                </c:pt>
                <c:pt idx="32">
                  <c:v>38.906497622820922</c:v>
                </c:pt>
                <c:pt idx="33">
                  <c:v>60.397830018083184</c:v>
                </c:pt>
                <c:pt idx="34">
                  <c:v>40.557939914163093</c:v>
                </c:pt>
                <c:pt idx="35">
                  <c:v>60.643660333462584</c:v>
                </c:pt>
                <c:pt idx="36">
                  <c:v>80.892103676913806</c:v>
                </c:pt>
                <c:pt idx="37">
                  <c:v>37.185413456599896</c:v>
                </c:pt>
                <c:pt idx="38">
                  <c:v>39.089848308051344</c:v>
                </c:pt>
                <c:pt idx="39">
                  <c:v>39.518413597733712</c:v>
                </c:pt>
                <c:pt idx="40">
                  <c:v>34.831460674157306</c:v>
                </c:pt>
                <c:pt idx="41">
                  <c:v>30.410447761194028</c:v>
                </c:pt>
                <c:pt idx="42">
                  <c:v>33.382954968366207</c:v>
                </c:pt>
                <c:pt idx="43">
                  <c:v>33.17717206132879</c:v>
                </c:pt>
                <c:pt idx="44">
                  <c:v>66.638690725975664</c:v>
                </c:pt>
                <c:pt idx="45">
                  <c:v>76.323676323676324</c:v>
                </c:pt>
                <c:pt idx="46">
                  <c:v>63.553530751708429</c:v>
                </c:pt>
                <c:pt idx="47">
                  <c:v>38.345864661654133</c:v>
                </c:pt>
                <c:pt idx="48">
                  <c:v>46.447028423772608</c:v>
                </c:pt>
                <c:pt idx="49">
                  <c:v>54.770477047704773</c:v>
                </c:pt>
                <c:pt idx="50">
                  <c:v>39.671610169491522</c:v>
                </c:pt>
                <c:pt idx="51">
                  <c:v>36.756756756756758</c:v>
                </c:pt>
                <c:pt idx="52">
                  <c:v>41.573033707865171</c:v>
                </c:pt>
                <c:pt idx="53">
                  <c:v>77.949709864603477</c:v>
                </c:pt>
                <c:pt idx="54">
                  <c:v>33.753581661891118</c:v>
                </c:pt>
                <c:pt idx="55">
                  <c:v>33.72333103922918</c:v>
                </c:pt>
                <c:pt idx="56">
                  <c:v>42.37967914438503</c:v>
                </c:pt>
                <c:pt idx="57">
                  <c:v>34.80704383664294</c:v>
                </c:pt>
                <c:pt idx="58">
                  <c:v>27.331189710610932</c:v>
                </c:pt>
                <c:pt idx="59">
                  <c:v>40.369496855345915</c:v>
                </c:pt>
                <c:pt idx="60">
                  <c:v>36.407185628742518</c:v>
                </c:pt>
                <c:pt idx="61">
                  <c:v>43.839238498149129</c:v>
                </c:pt>
                <c:pt idx="62">
                  <c:v>26.411290322580644</c:v>
                </c:pt>
                <c:pt idx="63">
                  <c:v>26.433121019108281</c:v>
                </c:pt>
                <c:pt idx="64">
                  <c:v>29.407760381211709</c:v>
                </c:pt>
                <c:pt idx="65">
                  <c:v>56.201248049922</c:v>
                </c:pt>
                <c:pt idx="66">
                  <c:v>64.838255977496488</c:v>
                </c:pt>
                <c:pt idx="67">
                  <c:v>51.035502958579883</c:v>
                </c:pt>
                <c:pt idx="68">
                  <c:v>44.304522037779051</c:v>
                </c:pt>
                <c:pt idx="69">
                  <c:v>52.071316203460931</c:v>
                </c:pt>
                <c:pt idx="70">
                  <c:v>34.757118927973202</c:v>
                </c:pt>
                <c:pt idx="71">
                  <c:v>40.566873339238263</c:v>
                </c:pt>
                <c:pt idx="72">
                  <c:v>38.851802403204275</c:v>
                </c:pt>
                <c:pt idx="73">
                  <c:v>20.387305002689619</c:v>
                </c:pt>
                <c:pt idx="74">
                  <c:v>33.460076045627375</c:v>
                </c:pt>
                <c:pt idx="75">
                  <c:v>48.615384615384613</c:v>
                </c:pt>
                <c:pt idx="76">
                  <c:v>53.680078508341509</c:v>
                </c:pt>
                <c:pt idx="77">
                  <c:v>64.369747899159663</c:v>
                </c:pt>
                <c:pt idx="78">
                  <c:v>48.849441157133462</c:v>
                </c:pt>
                <c:pt idx="79">
                  <c:v>40.281690140845072</c:v>
                </c:pt>
                <c:pt idx="80">
                  <c:v>50.819672131147541</c:v>
                </c:pt>
                <c:pt idx="81">
                  <c:v>39.598662207357862</c:v>
                </c:pt>
                <c:pt idx="82">
                  <c:v>50.497787610619469</c:v>
                </c:pt>
                <c:pt idx="83">
                  <c:v>44.284294234592444</c:v>
                </c:pt>
                <c:pt idx="84">
                  <c:v>40.035693039857229</c:v>
                </c:pt>
                <c:pt idx="85">
                  <c:v>39.169139465875368</c:v>
                </c:pt>
                <c:pt idx="86">
                  <c:v>44.34270765206017</c:v>
                </c:pt>
                <c:pt idx="87">
                  <c:v>34.888888888888886</c:v>
                </c:pt>
                <c:pt idx="88">
                  <c:v>36.497890295358651</c:v>
                </c:pt>
                <c:pt idx="89">
                  <c:v>42.791645440652061</c:v>
                </c:pt>
                <c:pt idx="90">
                  <c:v>48.685594111461619</c:v>
                </c:pt>
                <c:pt idx="91">
                  <c:v>50.516089860352153</c:v>
                </c:pt>
                <c:pt idx="92">
                  <c:v>53.875379939209729</c:v>
                </c:pt>
                <c:pt idx="93">
                  <c:v>63.985148514851488</c:v>
                </c:pt>
                <c:pt idx="94">
                  <c:v>65.171137835337646</c:v>
                </c:pt>
                <c:pt idx="95">
                  <c:v>49.1869918699187</c:v>
                </c:pt>
                <c:pt idx="96">
                  <c:v>53.274139844617089</c:v>
                </c:pt>
                <c:pt idx="97">
                  <c:v>47.549224968579807</c:v>
                </c:pt>
                <c:pt idx="98">
                  <c:v>52.247557003257327</c:v>
                </c:pt>
                <c:pt idx="99">
                  <c:v>31.077504725897921</c:v>
                </c:pt>
                <c:pt idx="100">
                  <c:v>34.410181106216349</c:v>
                </c:pt>
                <c:pt idx="101">
                  <c:v>58.090452261306531</c:v>
                </c:pt>
                <c:pt idx="102">
                  <c:v>54.251012145748987</c:v>
                </c:pt>
                <c:pt idx="103">
                  <c:v>100</c:v>
                </c:pt>
                <c:pt idx="104">
                  <c:v>96.385542168674704</c:v>
                </c:pt>
                <c:pt idx="105">
                  <c:v>44.696539988655701</c:v>
                </c:pt>
                <c:pt idx="106">
                  <c:v>34.995296331138285</c:v>
                </c:pt>
                <c:pt idx="107">
                  <c:v>35.362694300518136</c:v>
                </c:pt>
                <c:pt idx="108">
                  <c:v>39.04</c:v>
                </c:pt>
                <c:pt idx="109">
                  <c:v>35.573122529644266</c:v>
                </c:pt>
                <c:pt idx="110">
                  <c:v>44.124423963133637</c:v>
                </c:pt>
                <c:pt idx="111">
                  <c:v>38.940448569218873</c:v>
                </c:pt>
                <c:pt idx="112">
                  <c:v>38.696701528559935</c:v>
                </c:pt>
                <c:pt idx="113">
                  <c:v>40.17918676774638</c:v>
                </c:pt>
                <c:pt idx="114">
                  <c:v>36.726039016115351</c:v>
                </c:pt>
                <c:pt idx="115">
                  <c:v>34.266958424507656</c:v>
                </c:pt>
                <c:pt idx="116">
                  <c:v>44.636471990464841</c:v>
                </c:pt>
                <c:pt idx="117">
                  <c:v>34.172839506172842</c:v>
                </c:pt>
                <c:pt idx="118">
                  <c:v>0</c:v>
                </c:pt>
                <c:pt idx="119">
                  <c:v>38.02469135802469</c:v>
                </c:pt>
                <c:pt idx="120">
                  <c:v>31.100045269352648</c:v>
                </c:pt>
                <c:pt idx="121">
                  <c:v>52.017167381974247</c:v>
                </c:pt>
                <c:pt idx="122">
                  <c:v>34.624937903626432</c:v>
                </c:pt>
                <c:pt idx="123">
                  <c:v>35.096391497775578</c:v>
                </c:pt>
                <c:pt idx="124">
                  <c:v>42.913385826771652</c:v>
                </c:pt>
                <c:pt idx="125">
                  <c:v>39.681637293916999</c:v>
                </c:pt>
                <c:pt idx="126">
                  <c:v>35.935455734845178</c:v>
                </c:pt>
                <c:pt idx="127">
                  <c:v>33.134191176470587</c:v>
                </c:pt>
                <c:pt idx="128">
                  <c:v>35.535535535535537</c:v>
                </c:pt>
                <c:pt idx="129">
                  <c:v>41.009946442234124</c:v>
                </c:pt>
                <c:pt idx="130">
                  <c:v>70.199587061252586</c:v>
                </c:pt>
                <c:pt idx="131">
                  <c:v>31.644736842105264</c:v>
                </c:pt>
                <c:pt idx="132">
                  <c:v>33.720930232558139</c:v>
                </c:pt>
                <c:pt idx="133">
                  <c:v>33.635729239357993</c:v>
                </c:pt>
                <c:pt idx="134">
                  <c:v>28.324324324324323</c:v>
                </c:pt>
                <c:pt idx="135">
                  <c:v>41.544291804831836</c:v>
                </c:pt>
                <c:pt idx="136">
                  <c:v>54.589371980676326</c:v>
                </c:pt>
                <c:pt idx="137">
                  <c:v>50.391644908616186</c:v>
                </c:pt>
                <c:pt idx="138">
                  <c:v>35.37117903930131</c:v>
                </c:pt>
                <c:pt idx="139">
                  <c:v>32.978251220594764</c:v>
                </c:pt>
                <c:pt idx="140">
                  <c:v>69.944444444444443</c:v>
                </c:pt>
                <c:pt idx="141">
                  <c:v>31.868640148011099</c:v>
                </c:pt>
                <c:pt idx="142">
                  <c:v>39.067055393586003</c:v>
                </c:pt>
                <c:pt idx="143">
                  <c:v>35.988620199146517</c:v>
                </c:pt>
                <c:pt idx="144">
                  <c:v>29.496402877697843</c:v>
                </c:pt>
                <c:pt idx="145">
                  <c:v>36.228482003129891</c:v>
                </c:pt>
                <c:pt idx="146">
                  <c:v>32.619775739041792</c:v>
                </c:pt>
                <c:pt idx="147">
                  <c:v>32.914704343275773</c:v>
                </c:pt>
                <c:pt idx="148">
                  <c:v>36.454703832752614</c:v>
                </c:pt>
                <c:pt idx="149">
                  <c:v>38.655077767612077</c:v>
                </c:pt>
                <c:pt idx="150">
                  <c:v>26.343679031037095</c:v>
                </c:pt>
                <c:pt idx="151">
                  <c:v>27.943661971830984</c:v>
                </c:pt>
                <c:pt idx="152">
                  <c:v>30.517423442449843</c:v>
                </c:pt>
                <c:pt idx="153">
                  <c:v>24.29951690821256</c:v>
                </c:pt>
                <c:pt idx="154">
                  <c:v>25.819672131147541</c:v>
                </c:pt>
                <c:pt idx="155">
                  <c:v>21.834574676597413</c:v>
                </c:pt>
                <c:pt idx="156">
                  <c:v>30.424366872005475</c:v>
                </c:pt>
                <c:pt idx="157">
                  <c:v>53.324468085106382</c:v>
                </c:pt>
                <c:pt idx="158">
                  <c:v>50.189155107187894</c:v>
                </c:pt>
                <c:pt idx="159">
                  <c:v>31.138070479491624</c:v>
                </c:pt>
                <c:pt idx="160">
                  <c:v>44.290976058931861</c:v>
                </c:pt>
                <c:pt idx="161">
                  <c:v>25.94183740912095</c:v>
                </c:pt>
                <c:pt idx="162">
                  <c:v>21.28082736674622</c:v>
                </c:pt>
                <c:pt idx="163">
                  <c:v>25.129982668977469</c:v>
                </c:pt>
                <c:pt idx="164">
                  <c:v>25.090415913200722</c:v>
                </c:pt>
                <c:pt idx="165">
                  <c:v>25.754443985117817</c:v>
                </c:pt>
                <c:pt idx="166">
                  <c:v>23.076923076923077</c:v>
                </c:pt>
                <c:pt idx="167">
                  <c:v>21.449766850360323</c:v>
                </c:pt>
                <c:pt idx="168">
                  <c:v>24.780256930358352</c:v>
                </c:pt>
                <c:pt idx="169">
                  <c:v>17.890520694259013</c:v>
                </c:pt>
                <c:pt idx="170">
                  <c:v>21.104018024784079</c:v>
                </c:pt>
                <c:pt idx="171">
                  <c:v>40.642129992169146</c:v>
                </c:pt>
                <c:pt idx="172">
                  <c:v>33.180987202925046</c:v>
                </c:pt>
                <c:pt idx="173">
                  <c:v>30.762987012987011</c:v>
                </c:pt>
                <c:pt idx="174">
                  <c:v>35.679374389051809</c:v>
                </c:pt>
                <c:pt idx="175">
                  <c:v>37.286135693215343</c:v>
                </c:pt>
                <c:pt idx="176">
                  <c:v>47.942754919499109</c:v>
                </c:pt>
                <c:pt idx="177">
                  <c:v>62.786745964316054</c:v>
                </c:pt>
                <c:pt idx="178">
                  <c:v>31.561461794019934</c:v>
                </c:pt>
                <c:pt idx="179">
                  <c:v>40.958268933539415</c:v>
                </c:pt>
                <c:pt idx="180">
                  <c:v>42.378048780487802</c:v>
                </c:pt>
                <c:pt idx="181">
                  <c:v>23.970037453183522</c:v>
                </c:pt>
              </c:numCache>
            </c:numRef>
          </c:xVal>
          <c:yVal>
            <c:numRef>
              <c:f>'Мособлдума партии'!$AD$2:$AD$183</c:f>
              <c:numCache>
                <c:formatCode>0.0</c:formatCode>
                <c:ptCount val="182"/>
                <c:pt idx="0">
                  <c:v>7.4766355140186915</c:v>
                </c:pt>
                <c:pt idx="1">
                  <c:v>5.2301255230125525</c:v>
                </c:pt>
                <c:pt idx="2">
                  <c:v>1.1926605504587156</c:v>
                </c:pt>
                <c:pt idx="3">
                  <c:v>1.3840830449826989</c:v>
                </c:pt>
                <c:pt idx="4">
                  <c:v>9.6739130434782616</c:v>
                </c:pt>
                <c:pt idx="5">
                  <c:v>6.8437180796731356</c:v>
                </c:pt>
                <c:pt idx="6">
                  <c:v>11.196581196581196</c:v>
                </c:pt>
                <c:pt idx="7">
                  <c:v>4.4740973312401886</c:v>
                </c:pt>
                <c:pt idx="8">
                  <c:v>4.8979591836734695</c:v>
                </c:pt>
                <c:pt idx="9">
                  <c:v>8.9392133492252679</c:v>
                </c:pt>
                <c:pt idx="10">
                  <c:v>8.0985915492957741</c:v>
                </c:pt>
                <c:pt idx="11">
                  <c:v>3.9123630672926448</c:v>
                </c:pt>
                <c:pt idx="12">
                  <c:v>8.3481349911190055</c:v>
                </c:pt>
                <c:pt idx="13">
                  <c:v>8.8057901085645351</c:v>
                </c:pt>
                <c:pt idx="14">
                  <c:v>6.0070671378091873</c:v>
                </c:pt>
                <c:pt idx="15">
                  <c:v>9.5890410958904102</c:v>
                </c:pt>
                <c:pt idx="16">
                  <c:v>13.450292397660819</c:v>
                </c:pt>
                <c:pt idx="17">
                  <c:v>9.8445595854922274</c:v>
                </c:pt>
                <c:pt idx="18">
                  <c:v>8.1730769230769234</c:v>
                </c:pt>
                <c:pt idx="19">
                  <c:v>8.9968976215098238</c:v>
                </c:pt>
                <c:pt idx="20">
                  <c:v>10.478359908883826</c:v>
                </c:pt>
                <c:pt idx="21">
                  <c:v>7.5102880658436213</c:v>
                </c:pt>
                <c:pt idx="22">
                  <c:v>10.089020771513352</c:v>
                </c:pt>
                <c:pt idx="23">
                  <c:v>12.417437252311757</c:v>
                </c:pt>
                <c:pt idx="24">
                  <c:v>11.111111111111111</c:v>
                </c:pt>
                <c:pt idx="25">
                  <c:v>7.0707070707070709</c:v>
                </c:pt>
                <c:pt idx="26">
                  <c:v>7.8516902944383862</c:v>
                </c:pt>
                <c:pt idx="27">
                  <c:v>8.5106382978723403</c:v>
                </c:pt>
                <c:pt idx="28">
                  <c:v>7.4022346368715084</c:v>
                </c:pt>
                <c:pt idx="29">
                  <c:v>9.0460526315789469</c:v>
                </c:pt>
                <c:pt idx="30">
                  <c:v>10</c:v>
                </c:pt>
                <c:pt idx="31">
                  <c:v>9.6240601503759393</c:v>
                </c:pt>
                <c:pt idx="32">
                  <c:v>6.7209775967413439</c:v>
                </c:pt>
                <c:pt idx="33">
                  <c:v>9.2814371257485035</c:v>
                </c:pt>
                <c:pt idx="34">
                  <c:v>3.4391534391534391</c:v>
                </c:pt>
                <c:pt idx="35">
                  <c:v>6.2659846547314579</c:v>
                </c:pt>
                <c:pt idx="36">
                  <c:v>4.918032786885246</c:v>
                </c:pt>
                <c:pt idx="37">
                  <c:v>6.7679558011049723</c:v>
                </c:pt>
                <c:pt idx="38">
                  <c:v>6.5671641791044779</c:v>
                </c:pt>
                <c:pt idx="39">
                  <c:v>9.3862815884476536</c:v>
                </c:pt>
                <c:pt idx="40">
                  <c:v>7.9365079365079367</c:v>
                </c:pt>
                <c:pt idx="41">
                  <c:v>9.2024539877300615</c:v>
                </c:pt>
                <c:pt idx="42">
                  <c:v>7.3578595317725757</c:v>
                </c:pt>
                <c:pt idx="43">
                  <c:v>7.4454428754813868</c:v>
                </c:pt>
                <c:pt idx="44">
                  <c:v>2.459016393442623</c:v>
                </c:pt>
                <c:pt idx="45">
                  <c:v>3.5340314136125652</c:v>
                </c:pt>
                <c:pt idx="46">
                  <c:v>13.261648745519713</c:v>
                </c:pt>
                <c:pt idx="47">
                  <c:v>12.581699346405228</c:v>
                </c:pt>
                <c:pt idx="48">
                  <c:v>10.292072322670375</c:v>
                </c:pt>
                <c:pt idx="49">
                  <c:v>6.8504594820384295</c:v>
                </c:pt>
                <c:pt idx="50">
                  <c:v>8.6782376502002663</c:v>
                </c:pt>
                <c:pt idx="51">
                  <c:v>10.620915032679738</c:v>
                </c:pt>
                <c:pt idx="52">
                  <c:v>9.2460881934566146</c:v>
                </c:pt>
                <c:pt idx="53">
                  <c:v>6.9478908188585606</c:v>
                </c:pt>
                <c:pt idx="54">
                  <c:v>6.9727891156462585</c:v>
                </c:pt>
                <c:pt idx="55">
                  <c:v>7.5510204081632653</c:v>
                </c:pt>
                <c:pt idx="56">
                  <c:v>6.4668769716088326</c:v>
                </c:pt>
                <c:pt idx="57">
                  <c:v>7.7502691065662006</c:v>
                </c:pt>
                <c:pt idx="58">
                  <c:v>5.7516339869281046</c:v>
                </c:pt>
                <c:pt idx="59">
                  <c:v>9.4449853943524822</c:v>
                </c:pt>
                <c:pt idx="60">
                  <c:v>7.0957095709570961</c:v>
                </c:pt>
                <c:pt idx="61">
                  <c:v>6.3932448733413754</c:v>
                </c:pt>
                <c:pt idx="62">
                  <c:v>8.0152671755725198</c:v>
                </c:pt>
                <c:pt idx="63">
                  <c:v>7.831325301204819</c:v>
                </c:pt>
                <c:pt idx="64">
                  <c:v>6.9444444444444446</c:v>
                </c:pt>
                <c:pt idx="65">
                  <c:v>8.3969465648854964</c:v>
                </c:pt>
                <c:pt idx="66">
                  <c:v>10.629067245119305</c:v>
                </c:pt>
                <c:pt idx="67">
                  <c:v>9.8550724637681153</c:v>
                </c:pt>
                <c:pt idx="68">
                  <c:v>11.627906976744185</c:v>
                </c:pt>
                <c:pt idx="69">
                  <c:v>12.789526686807653</c:v>
                </c:pt>
                <c:pt idx="70">
                  <c:v>7.4698795180722888</c:v>
                </c:pt>
                <c:pt idx="71">
                  <c:v>12.035010940919037</c:v>
                </c:pt>
                <c:pt idx="72">
                  <c:v>8.6805555555555554</c:v>
                </c:pt>
                <c:pt idx="73">
                  <c:v>8.7071240105540895</c:v>
                </c:pt>
                <c:pt idx="74">
                  <c:v>10.273972602739725</c:v>
                </c:pt>
                <c:pt idx="75">
                  <c:v>6.8037974683544302</c:v>
                </c:pt>
                <c:pt idx="76">
                  <c:v>9.6241979835013751</c:v>
                </c:pt>
                <c:pt idx="77">
                  <c:v>7.6175040518638575</c:v>
                </c:pt>
                <c:pt idx="78">
                  <c:v>10.228802153432031</c:v>
                </c:pt>
                <c:pt idx="79">
                  <c:v>10.48951048951049</c:v>
                </c:pt>
                <c:pt idx="80">
                  <c:v>7.4838709677419351</c:v>
                </c:pt>
                <c:pt idx="81">
                  <c:v>10.135135135135135</c:v>
                </c:pt>
                <c:pt idx="82">
                  <c:v>11.829134720700985</c:v>
                </c:pt>
                <c:pt idx="83">
                  <c:v>10.998877665544333</c:v>
                </c:pt>
                <c:pt idx="84">
                  <c:v>10.401188707280832</c:v>
                </c:pt>
                <c:pt idx="85">
                  <c:v>10.303030303030303</c:v>
                </c:pt>
                <c:pt idx="86">
                  <c:v>11.061946902654867</c:v>
                </c:pt>
                <c:pt idx="87">
                  <c:v>8.1210191082802545</c:v>
                </c:pt>
                <c:pt idx="88">
                  <c:v>9.7674418604651159</c:v>
                </c:pt>
                <c:pt idx="89">
                  <c:v>7.5</c:v>
                </c:pt>
                <c:pt idx="90">
                  <c:v>5.1835853131749463</c:v>
                </c:pt>
                <c:pt idx="91">
                  <c:v>6.8509615384615383</c:v>
                </c:pt>
                <c:pt idx="92">
                  <c:v>6.3469675599435824</c:v>
                </c:pt>
                <c:pt idx="93">
                  <c:v>4.7066408768536432</c:v>
                </c:pt>
                <c:pt idx="94">
                  <c:v>5.1209103840682788</c:v>
                </c:pt>
                <c:pt idx="95">
                  <c:v>12.396694214876034</c:v>
                </c:pt>
                <c:pt idx="96">
                  <c:v>7.5</c:v>
                </c:pt>
                <c:pt idx="97">
                  <c:v>5.1101321585903081</c:v>
                </c:pt>
                <c:pt idx="98">
                  <c:v>4.7381546134663344</c:v>
                </c:pt>
                <c:pt idx="99">
                  <c:v>9.1240875912408761</c:v>
                </c:pt>
                <c:pt idx="100">
                  <c:v>8.2503556187766716</c:v>
                </c:pt>
                <c:pt idx="101">
                  <c:v>9.8260869565217384</c:v>
                </c:pt>
                <c:pt idx="102">
                  <c:v>11.111111111111111</c:v>
                </c:pt>
                <c:pt idx="103">
                  <c:v>1.5151515151515151</c:v>
                </c:pt>
                <c:pt idx="104">
                  <c:v>11.25</c:v>
                </c:pt>
                <c:pt idx="105">
                  <c:v>8.2487309644670059</c:v>
                </c:pt>
                <c:pt idx="106">
                  <c:v>10.21505376344086</c:v>
                </c:pt>
                <c:pt idx="107">
                  <c:v>9.0354090354090353</c:v>
                </c:pt>
                <c:pt idx="108">
                  <c:v>9.1286307053941904</c:v>
                </c:pt>
                <c:pt idx="109">
                  <c:v>7.5555555555555554</c:v>
                </c:pt>
                <c:pt idx="110">
                  <c:v>9.472259810554803</c:v>
                </c:pt>
                <c:pt idx="111">
                  <c:v>6.2761506276150625</c:v>
                </c:pt>
                <c:pt idx="112">
                  <c:v>5.416666666666667</c:v>
                </c:pt>
                <c:pt idx="113">
                  <c:v>5.8319039451114927</c:v>
                </c:pt>
                <c:pt idx="114">
                  <c:v>7.4245939675174011</c:v>
                </c:pt>
                <c:pt idx="115">
                  <c:v>8.8461538461538467</c:v>
                </c:pt>
                <c:pt idx="116">
                  <c:v>7.7747989276139409</c:v>
                </c:pt>
                <c:pt idx="117">
                  <c:v>8.0924855491329488</c:v>
                </c:pt>
                <c:pt idx="118">
                  <c:v>0</c:v>
                </c:pt>
                <c:pt idx="119">
                  <c:v>9.750812567713977</c:v>
                </c:pt>
                <c:pt idx="120">
                  <c:v>9.3158660844250356</c:v>
                </c:pt>
                <c:pt idx="121">
                  <c:v>5.6930693069306928</c:v>
                </c:pt>
                <c:pt idx="122">
                  <c:v>8.8588588588588593</c:v>
                </c:pt>
                <c:pt idx="123">
                  <c:v>9.5035460992907801</c:v>
                </c:pt>
                <c:pt idx="124">
                  <c:v>7.0617906683480456</c:v>
                </c:pt>
                <c:pt idx="125">
                  <c:v>8.8952654232424671</c:v>
                </c:pt>
                <c:pt idx="126">
                  <c:v>8.8592233009708732</c:v>
                </c:pt>
                <c:pt idx="127">
                  <c:v>7.212205270457698</c:v>
                </c:pt>
                <c:pt idx="128">
                  <c:v>6.197183098591549</c:v>
                </c:pt>
                <c:pt idx="129">
                  <c:v>8.7686567164179099</c:v>
                </c:pt>
                <c:pt idx="130">
                  <c:v>8.0097087378640772</c:v>
                </c:pt>
                <c:pt idx="131">
                  <c:v>7.4844074844074848</c:v>
                </c:pt>
                <c:pt idx="132">
                  <c:v>6.6937119675456387</c:v>
                </c:pt>
                <c:pt idx="133">
                  <c:v>9.7510373443983411</c:v>
                </c:pt>
                <c:pt idx="134">
                  <c:v>8.2061068702290072</c:v>
                </c:pt>
                <c:pt idx="135">
                  <c:v>10.832383124287343</c:v>
                </c:pt>
                <c:pt idx="136">
                  <c:v>8.3185840707964598</c:v>
                </c:pt>
                <c:pt idx="137">
                  <c:v>7.3651452282157672</c:v>
                </c:pt>
                <c:pt idx="138">
                  <c:v>8.4415584415584419</c:v>
                </c:pt>
                <c:pt idx="139">
                  <c:v>9.690444145356663</c:v>
                </c:pt>
                <c:pt idx="140">
                  <c:v>7.0691024622716441</c:v>
                </c:pt>
                <c:pt idx="141">
                  <c:v>9.433962264150944</c:v>
                </c:pt>
                <c:pt idx="142">
                  <c:v>11.601513240857503</c:v>
                </c:pt>
                <c:pt idx="143">
                  <c:v>9.2178770949720672</c:v>
                </c:pt>
                <c:pt idx="144">
                  <c:v>11.924119241192411</c:v>
                </c:pt>
                <c:pt idx="145">
                  <c:v>7.7753779697624186</c:v>
                </c:pt>
                <c:pt idx="146">
                  <c:v>7.1875</c:v>
                </c:pt>
                <c:pt idx="147">
                  <c:v>10.492845786963434</c:v>
                </c:pt>
                <c:pt idx="148">
                  <c:v>9.9520383693045567</c:v>
                </c:pt>
                <c:pt idx="149">
                  <c:v>6.8720379146919433</c:v>
                </c:pt>
                <c:pt idx="150">
                  <c:v>8.4770114942528743</c:v>
                </c:pt>
                <c:pt idx="151">
                  <c:v>8.064516129032258</c:v>
                </c:pt>
                <c:pt idx="152">
                  <c:v>7.4394463667820068</c:v>
                </c:pt>
                <c:pt idx="153">
                  <c:v>10.735586481113319</c:v>
                </c:pt>
                <c:pt idx="154">
                  <c:v>10.758377425044092</c:v>
                </c:pt>
                <c:pt idx="155">
                  <c:v>8.2585278276481144</c:v>
                </c:pt>
                <c:pt idx="156">
                  <c:v>6.5241844769403823</c:v>
                </c:pt>
                <c:pt idx="157">
                  <c:v>8.0200501253132828</c:v>
                </c:pt>
                <c:pt idx="158">
                  <c:v>9.1666666666666661</c:v>
                </c:pt>
                <c:pt idx="159">
                  <c:v>5.6390977443609023</c:v>
                </c:pt>
                <c:pt idx="160">
                  <c:v>5.1975051975051976</c:v>
                </c:pt>
                <c:pt idx="161">
                  <c:v>5.7471264367816088</c:v>
                </c:pt>
                <c:pt idx="162">
                  <c:v>6.91588785046729</c:v>
                </c:pt>
                <c:pt idx="163">
                  <c:v>7.7720207253886011</c:v>
                </c:pt>
                <c:pt idx="164">
                  <c:v>7.5675675675675675</c:v>
                </c:pt>
                <c:pt idx="165">
                  <c:v>6.5810593900481544</c:v>
                </c:pt>
                <c:pt idx="166">
                  <c:v>7.7393075356415482</c:v>
                </c:pt>
                <c:pt idx="167">
                  <c:v>6.1630218687872764</c:v>
                </c:pt>
                <c:pt idx="168">
                  <c:v>9.6862210095497954</c:v>
                </c:pt>
                <c:pt idx="169">
                  <c:v>3.125</c:v>
                </c:pt>
                <c:pt idx="170">
                  <c:v>6.2277580071174379</c:v>
                </c:pt>
                <c:pt idx="171">
                  <c:v>7.3217726396917149</c:v>
                </c:pt>
                <c:pt idx="172">
                  <c:v>4.4077134986225897</c:v>
                </c:pt>
                <c:pt idx="173">
                  <c:v>10.554089709762533</c:v>
                </c:pt>
                <c:pt idx="174">
                  <c:v>7.6712328767123283</c:v>
                </c:pt>
                <c:pt idx="175">
                  <c:v>7.4468085106382977</c:v>
                </c:pt>
                <c:pt idx="176">
                  <c:v>6.8407960199004973</c:v>
                </c:pt>
                <c:pt idx="177">
                  <c:v>3.9918809201623815</c:v>
                </c:pt>
                <c:pt idx="178">
                  <c:v>6.1403508771929829</c:v>
                </c:pt>
                <c:pt idx="179">
                  <c:v>5.0943396226415096</c:v>
                </c:pt>
                <c:pt idx="180">
                  <c:v>5.7553956834532372</c:v>
                </c:pt>
                <c:pt idx="181">
                  <c:v>8.984375</c:v>
                </c:pt>
              </c:numCache>
            </c:numRef>
          </c:yVal>
          <c:bubbleSize>
            <c:numRef>
              <c:f>'Мособлдума партии'!$J$2:$J$183</c:f>
              <c:numCache>
                <c:formatCode>General</c:formatCode>
                <c:ptCount val="182"/>
                <c:pt idx="0">
                  <c:v>2451</c:v>
                </c:pt>
                <c:pt idx="1">
                  <c:v>1792</c:v>
                </c:pt>
                <c:pt idx="2">
                  <c:v>1987</c:v>
                </c:pt>
                <c:pt idx="3">
                  <c:v>2122</c:v>
                </c:pt>
                <c:pt idx="4">
                  <c:v>1909</c:v>
                </c:pt>
                <c:pt idx="5">
                  <c:v>1948</c:v>
                </c:pt>
                <c:pt idx="6">
                  <c:v>1966</c:v>
                </c:pt>
                <c:pt idx="7">
                  <c:v>1755</c:v>
                </c:pt>
                <c:pt idx="8">
                  <c:v>2053</c:v>
                </c:pt>
                <c:pt idx="9">
                  <c:v>2353</c:v>
                </c:pt>
                <c:pt idx="10">
                  <c:v>2236</c:v>
                </c:pt>
                <c:pt idx="11">
                  <c:v>878</c:v>
                </c:pt>
                <c:pt idx="12">
                  <c:v>1109</c:v>
                </c:pt>
                <c:pt idx="13">
                  <c:v>2346</c:v>
                </c:pt>
                <c:pt idx="14">
                  <c:v>1222</c:v>
                </c:pt>
                <c:pt idx="15">
                  <c:v>1986</c:v>
                </c:pt>
                <c:pt idx="16">
                  <c:v>391</c:v>
                </c:pt>
                <c:pt idx="17">
                  <c:v>1248</c:v>
                </c:pt>
                <c:pt idx="18">
                  <c:v>1716</c:v>
                </c:pt>
                <c:pt idx="19">
                  <c:v>2695</c:v>
                </c:pt>
                <c:pt idx="20">
                  <c:v>1800</c:v>
                </c:pt>
                <c:pt idx="21">
                  <c:v>2108</c:v>
                </c:pt>
                <c:pt idx="22">
                  <c:v>2215</c:v>
                </c:pt>
                <c:pt idx="23">
                  <c:v>2112</c:v>
                </c:pt>
                <c:pt idx="24">
                  <c:v>2268</c:v>
                </c:pt>
                <c:pt idx="25">
                  <c:v>2112</c:v>
                </c:pt>
                <c:pt idx="26">
                  <c:v>2016</c:v>
                </c:pt>
                <c:pt idx="27">
                  <c:v>2330</c:v>
                </c:pt>
                <c:pt idx="28">
                  <c:v>1867</c:v>
                </c:pt>
                <c:pt idx="29">
                  <c:v>1777</c:v>
                </c:pt>
                <c:pt idx="30">
                  <c:v>1121</c:v>
                </c:pt>
                <c:pt idx="31">
                  <c:v>2249</c:v>
                </c:pt>
                <c:pt idx="32">
                  <c:v>1262</c:v>
                </c:pt>
                <c:pt idx="33">
                  <c:v>553</c:v>
                </c:pt>
                <c:pt idx="34">
                  <c:v>932</c:v>
                </c:pt>
                <c:pt idx="35">
                  <c:v>2579</c:v>
                </c:pt>
                <c:pt idx="36">
                  <c:v>1659</c:v>
                </c:pt>
                <c:pt idx="37">
                  <c:v>1947</c:v>
                </c:pt>
                <c:pt idx="38">
                  <c:v>857</c:v>
                </c:pt>
                <c:pt idx="39">
                  <c:v>1412</c:v>
                </c:pt>
                <c:pt idx="40">
                  <c:v>2047</c:v>
                </c:pt>
                <c:pt idx="41">
                  <c:v>536</c:v>
                </c:pt>
                <c:pt idx="42">
                  <c:v>2687</c:v>
                </c:pt>
                <c:pt idx="43">
                  <c:v>2348</c:v>
                </c:pt>
                <c:pt idx="44">
                  <c:v>2383</c:v>
                </c:pt>
                <c:pt idx="45">
                  <c:v>1001</c:v>
                </c:pt>
                <c:pt idx="46">
                  <c:v>439</c:v>
                </c:pt>
                <c:pt idx="47">
                  <c:v>1596</c:v>
                </c:pt>
                <c:pt idx="48">
                  <c:v>1548</c:v>
                </c:pt>
                <c:pt idx="49">
                  <c:v>2222</c:v>
                </c:pt>
                <c:pt idx="50">
                  <c:v>1888</c:v>
                </c:pt>
                <c:pt idx="51">
                  <c:v>1665</c:v>
                </c:pt>
                <c:pt idx="52">
                  <c:v>1691</c:v>
                </c:pt>
                <c:pt idx="53">
                  <c:v>517</c:v>
                </c:pt>
                <c:pt idx="54">
                  <c:v>1745</c:v>
                </c:pt>
                <c:pt idx="55">
                  <c:v>1453</c:v>
                </c:pt>
                <c:pt idx="56">
                  <c:v>1496</c:v>
                </c:pt>
                <c:pt idx="57">
                  <c:v>2669</c:v>
                </c:pt>
                <c:pt idx="58">
                  <c:v>2799</c:v>
                </c:pt>
                <c:pt idx="59">
                  <c:v>2544</c:v>
                </c:pt>
                <c:pt idx="60">
                  <c:v>1670</c:v>
                </c:pt>
                <c:pt idx="61">
                  <c:v>1891</c:v>
                </c:pt>
                <c:pt idx="62">
                  <c:v>1984</c:v>
                </c:pt>
                <c:pt idx="63">
                  <c:v>628</c:v>
                </c:pt>
                <c:pt idx="64">
                  <c:v>1469</c:v>
                </c:pt>
                <c:pt idx="65">
                  <c:v>2564</c:v>
                </c:pt>
                <c:pt idx="66">
                  <c:v>711</c:v>
                </c:pt>
                <c:pt idx="67">
                  <c:v>676</c:v>
                </c:pt>
                <c:pt idx="68">
                  <c:v>1747</c:v>
                </c:pt>
                <c:pt idx="69">
                  <c:v>1907</c:v>
                </c:pt>
                <c:pt idx="70">
                  <c:v>1194</c:v>
                </c:pt>
                <c:pt idx="71">
                  <c:v>1129</c:v>
                </c:pt>
                <c:pt idx="72">
                  <c:v>1498</c:v>
                </c:pt>
                <c:pt idx="73">
                  <c:v>1859</c:v>
                </c:pt>
                <c:pt idx="74">
                  <c:v>1315</c:v>
                </c:pt>
                <c:pt idx="75">
                  <c:v>1300</c:v>
                </c:pt>
                <c:pt idx="76">
                  <c:v>2038</c:v>
                </c:pt>
                <c:pt idx="77">
                  <c:v>1190</c:v>
                </c:pt>
                <c:pt idx="78">
                  <c:v>1521</c:v>
                </c:pt>
                <c:pt idx="79">
                  <c:v>710</c:v>
                </c:pt>
                <c:pt idx="80">
                  <c:v>1525</c:v>
                </c:pt>
                <c:pt idx="81">
                  <c:v>1495</c:v>
                </c:pt>
                <c:pt idx="82">
                  <c:v>1808</c:v>
                </c:pt>
                <c:pt idx="83">
                  <c:v>2012</c:v>
                </c:pt>
                <c:pt idx="84">
                  <c:v>1681</c:v>
                </c:pt>
                <c:pt idx="85">
                  <c:v>1685</c:v>
                </c:pt>
                <c:pt idx="86">
                  <c:v>1529</c:v>
                </c:pt>
                <c:pt idx="87">
                  <c:v>1800</c:v>
                </c:pt>
                <c:pt idx="88">
                  <c:v>1896</c:v>
                </c:pt>
                <c:pt idx="89">
                  <c:v>1963</c:v>
                </c:pt>
                <c:pt idx="90">
                  <c:v>1902</c:v>
                </c:pt>
                <c:pt idx="91">
                  <c:v>1647</c:v>
                </c:pt>
                <c:pt idx="92">
                  <c:v>1316</c:v>
                </c:pt>
                <c:pt idx="93">
                  <c:v>2424</c:v>
                </c:pt>
                <c:pt idx="94">
                  <c:v>2162</c:v>
                </c:pt>
                <c:pt idx="95">
                  <c:v>1230</c:v>
                </c:pt>
                <c:pt idx="96">
                  <c:v>901</c:v>
                </c:pt>
                <c:pt idx="97">
                  <c:v>2387</c:v>
                </c:pt>
                <c:pt idx="98">
                  <c:v>1535</c:v>
                </c:pt>
                <c:pt idx="99">
                  <c:v>2645</c:v>
                </c:pt>
                <c:pt idx="100">
                  <c:v>2043</c:v>
                </c:pt>
                <c:pt idx="101">
                  <c:v>1990</c:v>
                </c:pt>
                <c:pt idx="102">
                  <c:v>988</c:v>
                </c:pt>
                <c:pt idx="103">
                  <c:v>132</c:v>
                </c:pt>
                <c:pt idx="104">
                  <c:v>83</c:v>
                </c:pt>
                <c:pt idx="105">
                  <c:v>1763</c:v>
                </c:pt>
                <c:pt idx="106">
                  <c:v>1063</c:v>
                </c:pt>
                <c:pt idx="107">
                  <c:v>2316</c:v>
                </c:pt>
                <c:pt idx="108">
                  <c:v>1250</c:v>
                </c:pt>
                <c:pt idx="109">
                  <c:v>1265</c:v>
                </c:pt>
                <c:pt idx="110">
                  <c:v>1736</c:v>
                </c:pt>
                <c:pt idx="111">
                  <c:v>2586</c:v>
                </c:pt>
                <c:pt idx="112">
                  <c:v>1243</c:v>
                </c:pt>
                <c:pt idx="113">
                  <c:v>1451</c:v>
                </c:pt>
                <c:pt idx="114">
                  <c:v>1179</c:v>
                </c:pt>
                <c:pt idx="115">
                  <c:v>2285</c:v>
                </c:pt>
                <c:pt idx="116">
                  <c:v>1678</c:v>
                </c:pt>
                <c:pt idx="117">
                  <c:v>2025</c:v>
                </c:pt>
                <c:pt idx="118">
                  <c:v>0</c:v>
                </c:pt>
                <c:pt idx="119">
                  <c:v>2430</c:v>
                </c:pt>
                <c:pt idx="120">
                  <c:v>2209</c:v>
                </c:pt>
                <c:pt idx="121">
                  <c:v>2330</c:v>
                </c:pt>
                <c:pt idx="122">
                  <c:v>2013</c:v>
                </c:pt>
                <c:pt idx="123">
                  <c:v>2023</c:v>
                </c:pt>
                <c:pt idx="124">
                  <c:v>2032</c:v>
                </c:pt>
                <c:pt idx="125">
                  <c:v>1759</c:v>
                </c:pt>
                <c:pt idx="126">
                  <c:v>2293</c:v>
                </c:pt>
                <c:pt idx="127">
                  <c:v>2176</c:v>
                </c:pt>
                <c:pt idx="128">
                  <c:v>1998</c:v>
                </c:pt>
                <c:pt idx="129">
                  <c:v>1307</c:v>
                </c:pt>
                <c:pt idx="130">
                  <c:v>1453</c:v>
                </c:pt>
                <c:pt idx="131">
                  <c:v>1520</c:v>
                </c:pt>
                <c:pt idx="132">
                  <c:v>1462</c:v>
                </c:pt>
                <c:pt idx="133">
                  <c:v>1433</c:v>
                </c:pt>
                <c:pt idx="134">
                  <c:v>1850</c:v>
                </c:pt>
                <c:pt idx="135">
                  <c:v>2111</c:v>
                </c:pt>
                <c:pt idx="136">
                  <c:v>1035</c:v>
                </c:pt>
                <c:pt idx="137">
                  <c:v>1915</c:v>
                </c:pt>
                <c:pt idx="138">
                  <c:v>2290</c:v>
                </c:pt>
                <c:pt idx="139">
                  <c:v>2253</c:v>
                </c:pt>
                <c:pt idx="140">
                  <c:v>1800</c:v>
                </c:pt>
                <c:pt idx="141">
                  <c:v>2162</c:v>
                </c:pt>
                <c:pt idx="142">
                  <c:v>2058</c:v>
                </c:pt>
                <c:pt idx="143">
                  <c:v>2109</c:v>
                </c:pt>
                <c:pt idx="144">
                  <c:v>1251</c:v>
                </c:pt>
                <c:pt idx="145">
                  <c:v>1278</c:v>
                </c:pt>
                <c:pt idx="146">
                  <c:v>981</c:v>
                </c:pt>
                <c:pt idx="147">
                  <c:v>1911</c:v>
                </c:pt>
                <c:pt idx="148">
                  <c:v>2296</c:v>
                </c:pt>
                <c:pt idx="149">
                  <c:v>2186</c:v>
                </c:pt>
                <c:pt idx="150">
                  <c:v>2642</c:v>
                </c:pt>
                <c:pt idx="151">
                  <c:v>1775</c:v>
                </c:pt>
                <c:pt idx="152">
                  <c:v>1894</c:v>
                </c:pt>
                <c:pt idx="153">
                  <c:v>2070</c:v>
                </c:pt>
                <c:pt idx="154">
                  <c:v>2196</c:v>
                </c:pt>
                <c:pt idx="155">
                  <c:v>2551</c:v>
                </c:pt>
                <c:pt idx="156">
                  <c:v>2922</c:v>
                </c:pt>
                <c:pt idx="157">
                  <c:v>752</c:v>
                </c:pt>
                <c:pt idx="158">
                  <c:v>793</c:v>
                </c:pt>
                <c:pt idx="159">
                  <c:v>1731</c:v>
                </c:pt>
                <c:pt idx="160">
                  <c:v>1086</c:v>
                </c:pt>
                <c:pt idx="161">
                  <c:v>3026</c:v>
                </c:pt>
                <c:pt idx="162">
                  <c:v>2514</c:v>
                </c:pt>
                <c:pt idx="163">
                  <c:v>2308</c:v>
                </c:pt>
                <c:pt idx="164">
                  <c:v>2212</c:v>
                </c:pt>
                <c:pt idx="165">
                  <c:v>2419</c:v>
                </c:pt>
                <c:pt idx="166">
                  <c:v>2132</c:v>
                </c:pt>
                <c:pt idx="167">
                  <c:v>2359</c:v>
                </c:pt>
                <c:pt idx="168">
                  <c:v>2958</c:v>
                </c:pt>
                <c:pt idx="169">
                  <c:v>749</c:v>
                </c:pt>
                <c:pt idx="170">
                  <c:v>2663</c:v>
                </c:pt>
                <c:pt idx="171">
                  <c:v>1277</c:v>
                </c:pt>
                <c:pt idx="172">
                  <c:v>1094</c:v>
                </c:pt>
                <c:pt idx="173">
                  <c:v>1232</c:v>
                </c:pt>
                <c:pt idx="174">
                  <c:v>1023</c:v>
                </c:pt>
                <c:pt idx="175">
                  <c:v>1695</c:v>
                </c:pt>
                <c:pt idx="176">
                  <c:v>1677</c:v>
                </c:pt>
                <c:pt idx="177">
                  <c:v>2354</c:v>
                </c:pt>
                <c:pt idx="178">
                  <c:v>1806</c:v>
                </c:pt>
                <c:pt idx="179">
                  <c:v>1294</c:v>
                </c:pt>
                <c:pt idx="180">
                  <c:v>1640</c:v>
                </c:pt>
                <c:pt idx="181">
                  <c:v>1068</c:v>
                </c:pt>
              </c:numCache>
            </c:numRef>
          </c:bubbleSize>
          <c:bubble3D val="0"/>
          <c:extLst>
            <c:ext xmlns:c16="http://schemas.microsoft.com/office/drawing/2014/chart" uri="{C3380CC4-5D6E-409C-BE32-E72D297353CC}">
              <c16:uniqueId val="{00000001-2D10-4E5E-9489-B18E1CFA942D}"/>
            </c:ext>
          </c:extLst>
        </c:ser>
        <c:ser>
          <c:idx val="10"/>
          <c:order val="2"/>
          <c:tx>
            <c:strRef>
              <c:f>'Мособлдума партии'!$AF$1</c:f>
              <c:strCache>
                <c:ptCount val="1"/>
                <c:pt idx="0">
                  <c:v>Новые люди</c:v>
                </c:pt>
              </c:strCache>
            </c:strRef>
          </c:tx>
          <c:spPr>
            <a:solidFill>
              <a:srgbClr val="00FFFF">
                <a:alpha val="49804"/>
              </a:srgbClr>
            </a:solidFill>
            <a:ln w="25400">
              <a:noFill/>
            </a:ln>
            <a:effectLst/>
          </c:spPr>
          <c:invertIfNegative val="0"/>
          <c:xVal>
            <c:numRef>
              <c:f>'Мособлдума партии'!$O$2:$O$183</c:f>
              <c:numCache>
                <c:formatCode>0.0</c:formatCode>
                <c:ptCount val="182"/>
                <c:pt idx="0">
                  <c:v>65.483476132190944</c:v>
                </c:pt>
                <c:pt idx="1">
                  <c:v>53.515625</c:v>
                </c:pt>
                <c:pt idx="2">
                  <c:v>54.8565676899849</c:v>
                </c:pt>
                <c:pt idx="3">
                  <c:v>54.665409990574929</c:v>
                </c:pt>
                <c:pt idx="4">
                  <c:v>48.402304871660554</c:v>
                </c:pt>
                <c:pt idx="5">
                  <c:v>50.359342915811091</c:v>
                </c:pt>
                <c:pt idx="6">
                  <c:v>59.511698880976603</c:v>
                </c:pt>
                <c:pt idx="7">
                  <c:v>73.105413105413106</c:v>
                </c:pt>
                <c:pt idx="8">
                  <c:v>71.602532878714072</c:v>
                </c:pt>
                <c:pt idx="9">
                  <c:v>36.124096897577559</c:v>
                </c:pt>
                <c:pt idx="10">
                  <c:v>25.402504472271914</c:v>
                </c:pt>
                <c:pt idx="11">
                  <c:v>72.779043280182236</c:v>
                </c:pt>
                <c:pt idx="12">
                  <c:v>50.76645626690712</c:v>
                </c:pt>
                <c:pt idx="13">
                  <c:v>35.336743393009378</c:v>
                </c:pt>
                <c:pt idx="14">
                  <c:v>46.317512274959086</c:v>
                </c:pt>
                <c:pt idx="15">
                  <c:v>29.405840886203425</c:v>
                </c:pt>
                <c:pt idx="16">
                  <c:v>43.734015345268546</c:v>
                </c:pt>
                <c:pt idx="17">
                  <c:v>31.410256410256409</c:v>
                </c:pt>
                <c:pt idx="18">
                  <c:v>48.484848484848484</c:v>
                </c:pt>
                <c:pt idx="19">
                  <c:v>35.881261595547308</c:v>
                </c:pt>
                <c:pt idx="20">
                  <c:v>24.388888888888889</c:v>
                </c:pt>
                <c:pt idx="21">
                  <c:v>46.110056925996204</c:v>
                </c:pt>
                <c:pt idx="22">
                  <c:v>30.428893905191874</c:v>
                </c:pt>
                <c:pt idx="23">
                  <c:v>35.842803030303031</c:v>
                </c:pt>
                <c:pt idx="24">
                  <c:v>30.996472663139329</c:v>
                </c:pt>
                <c:pt idx="25">
                  <c:v>37.5</c:v>
                </c:pt>
                <c:pt idx="26">
                  <c:v>45.486111111111114</c:v>
                </c:pt>
                <c:pt idx="27">
                  <c:v>30.472103004291846</c:v>
                </c:pt>
                <c:pt idx="28">
                  <c:v>38.564542046063202</c:v>
                </c:pt>
                <c:pt idx="29">
                  <c:v>34.21496904895892</c:v>
                </c:pt>
                <c:pt idx="30">
                  <c:v>38.358608385370204</c:v>
                </c:pt>
                <c:pt idx="31">
                  <c:v>29.568697198755004</c:v>
                </c:pt>
                <c:pt idx="32">
                  <c:v>38.906497622820922</c:v>
                </c:pt>
                <c:pt idx="33">
                  <c:v>60.397830018083184</c:v>
                </c:pt>
                <c:pt idx="34">
                  <c:v>40.557939914163093</c:v>
                </c:pt>
                <c:pt idx="35">
                  <c:v>60.643660333462584</c:v>
                </c:pt>
                <c:pt idx="36">
                  <c:v>80.892103676913806</c:v>
                </c:pt>
                <c:pt idx="37">
                  <c:v>37.185413456599896</c:v>
                </c:pt>
                <c:pt idx="38">
                  <c:v>39.089848308051344</c:v>
                </c:pt>
                <c:pt idx="39">
                  <c:v>39.518413597733712</c:v>
                </c:pt>
                <c:pt idx="40">
                  <c:v>34.831460674157306</c:v>
                </c:pt>
                <c:pt idx="41">
                  <c:v>30.410447761194028</c:v>
                </c:pt>
                <c:pt idx="42">
                  <c:v>33.382954968366207</c:v>
                </c:pt>
                <c:pt idx="43">
                  <c:v>33.17717206132879</c:v>
                </c:pt>
                <c:pt idx="44">
                  <c:v>66.638690725975664</c:v>
                </c:pt>
                <c:pt idx="45">
                  <c:v>76.323676323676324</c:v>
                </c:pt>
                <c:pt idx="46">
                  <c:v>63.553530751708429</c:v>
                </c:pt>
                <c:pt idx="47">
                  <c:v>38.345864661654133</c:v>
                </c:pt>
                <c:pt idx="48">
                  <c:v>46.447028423772608</c:v>
                </c:pt>
                <c:pt idx="49">
                  <c:v>54.770477047704773</c:v>
                </c:pt>
                <c:pt idx="50">
                  <c:v>39.671610169491522</c:v>
                </c:pt>
                <c:pt idx="51">
                  <c:v>36.756756756756758</c:v>
                </c:pt>
                <c:pt idx="52">
                  <c:v>41.573033707865171</c:v>
                </c:pt>
                <c:pt idx="53">
                  <c:v>77.949709864603477</c:v>
                </c:pt>
                <c:pt idx="54">
                  <c:v>33.753581661891118</c:v>
                </c:pt>
                <c:pt idx="55">
                  <c:v>33.72333103922918</c:v>
                </c:pt>
                <c:pt idx="56">
                  <c:v>42.37967914438503</c:v>
                </c:pt>
                <c:pt idx="57">
                  <c:v>34.80704383664294</c:v>
                </c:pt>
                <c:pt idx="58">
                  <c:v>27.331189710610932</c:v>
                </c:pt>
                <c:pt idx="59">
                  <c:v>40.369496855345915</c:v>
                </c:pt>
                <c:pt idx="60">
                  <c:v>36.407185628742518</c:v>
                </c:pt>
                <c:pt idx="61">
                  <c:v>43.839238498149129</c:v>
                </c:pt>
                <c:pt idx="62">
                  <c:v>26.411290322580644</c:v>
                </c:pt>
                <c:pt idx="63">
                  <c:v>26.433121019108281</c:v>
                </c:pt>
                <c:pt idx="64">
                  <c:v>29.407760381211709</c:v>
                </c:pt>
                <c:pt idx="65">
                  <c:v>56.201248049922</c:v>
                </c:pt>
                <c:pt idx="66">
                  <c:v>64.838255977496488</c:v>
                </c:pt>
                <c:pt idx="67">
                  <c:v>51.035502958579883</c:v>
                </c:pt>
                <c:pt idx="68">
                  <c:v>44.304522037779051</c:v>
                </c:pt>
                <c:pt idx="69">
                  <c:v>52.071316203460931</c:v>
                </c:pt>
                <c:pt idx="70">
                  <c:v>34.757118927973202</c:v>
                </c:pt>
                <c:pt idx="71">
                  <c:v>40.566873339238263</c:v>
                </c:pt>
                <c:pt idx="72">
                  <c:v>38.851802403204275</c:v>
                </c:pt>
                <c:pt idx="73">
                  <c:v>20.387305002689619</c:v>
                </c:pt>
                <c:pt idx="74">
                  <c:v>33.460076045627375</c:v>
                </c:pt>
                <c:pt idx="75">
                  <c:v>48.615384615384613</c:v>
                </c:pt>
                <c:pt idx="76">
                  <c:v>53.680078508341509</c:v>
                </c:pt>
                <c:pt idx="77">
                  <c:v>64.369747899159663</c:v>
                </c:pt>
                <c:pt idx="78">
                  <c:v>48.849441157133462</c:v>
                </c:pt>
                <c:pt idx="79">
                  <c:v>40.281690140845072</c:v>
                </c:pt>
                <c:pt idx="80">
                  <c:v>50.819672131147541</c:v>
                </c:pt>
                <c:pt idx="81">
                  <c:v>39.598662207357862</c:v>
                </c:pt>
                <c:pt idx="82">
                  <c:v>50.497787610619469</c:v>
                </c:pt>
                <c:pt idx="83">
                  <c:v>44.284294234592444</c:v>
                </c:pt>
                <c:pt idx="84">
                  <c:v>40.035693039857229</c:v>
                </c:pt>
                <c:pt idx="85">
                  <c:v>39.169139465875368</c:v>
                </c:pt>
                <c:pt idx="86">
                  <c:v>44.34270765206017</c:v>
                </c:pt>
                <c:pt idx="87">
                  <c:v>34.888888888888886</c:v>
                </c:pt>
                <c:pt idx="88">
                  <c:v>36.497890295358651</c:v>
                </c:pt>
                <c:pt idx="89">
                  <c:v>42.791645440652061</c:v>
                </c:pt>
                <c:pt idx="90">
                  <c:v>48.685594111461619</c:v>
                </c:pt>
                <c:pt idx="91">
                  <c:v>50.516089860352153</c:v>
                </c:pt>
                <c:pt idx="92">
                  <c:v>53.875379939209729</c:v>
                </c:pt>
                <c:pt idx="93">
                  <c:v>63.985148514851488</c:v>
                </c:pt>
                <c:pt idx="94">
                  <c:v>65.171137835337646</c:v>
                </c:pt>
                <c:pt idx="95">
                  <c:v>49.1869918699187</c:v>
                </c:pt>
                <c:pt idx="96">
                  <c:v>53.274139844617089</c:v>
                </c:pt>
                <c:pt idx="97">
                  <c:v>47.549224968579807</c:v>
                </c:pt>
                <c:pt idx="98">
                  <c:v>52.247557003257327</c:v>
                </c:pt>
                <c:pt idx="99">
                  <c:v>31.077504725897921</c:v>
                </c:pt>
                <c:pt idx="100">
                  <c:v>34.410181106216349</c:v>
                </c:pt>
                <c:pt idx="101">
                  <c:v>58.090452261306531</c:v>
                </c:pt>
                <c:pt idx="102">
                  <c:v>54.251012145748987</c:v>
                </c:pt>
                <c:pt idx="103">
                  <c:v>100</c:v>
                </c:pt>
                <c:pt idx="104">
                  <c:v>96.385542168674704</c:v>
                </c:pt>
                <c:pt idx="105">
                  <c:v>44.696539988655701</c:v>
                </c:pt>
                <c:pt idx="106">
                  <c:v>34.995296331138285</c:v>
                </c:pt>
                <c:pt idx="107">
                  <c:v>35.362694300518136</c:v>
                </c:pt>
                <c:pt idx="108">
                  <c:v>39.04</c:v>
                </c:pt>
                <c:pt idx="109">
                  <c:v>35.573122529644266</c:v>
                </c:pt>
                <c:pt idx="110">
                  <c:v>44.124423963133637</c:v>
                </c:pt>
                <c:pt idx="111">
                  <c:v>38.940448569218873</c:v>
                </c:pt>
                <c:pt idx="112">
                  <c:v>38.696701528559935</c:v>
                </c:pt>
                <c:pt idx="113">
                  <c:v>40.17918676774638</c:v>
                </c:pt>
                <c:pt idx="114">
                  <c:v>36.726039016115351</c:v>
                </c:pt>
                <c:pt idx="115">
                  <c:v>34.266958424507656</c:v>
                </c:pt>
                <c:pt idx="116">
                  <c:v>44.636471990464841</c:v>
                </c:pt>
                <c:pt idx="117">
                  <c:v>34.172839506172842</c:v>
                </c:pt>
                <c:pt idx="118">
                  <c:v>0</c:v>
                </c:pt>
                <c:pt idx="119">
                  <c:v>38.02469135802469</c:v>
                </c:pt>
                <c:pt idx="120">
                  <c:v>31.100045269352648</c:v>
                </c:pt>
                <c:pt idx="121">
                  <c:v>52.017167381974247</c:v>
                </c:pt>
                <c:pt idx="122">
                  <c:v>34.624937903626432</c:v>
                </c:pt>
                <c:pt idx="123">
                  <c:v>35.096391497775578</c:v>
                </c:pt>
                <c:pt idx="124">
                  <c:v>42.913385826771652</c:v>
                </c:pt>
                <c:pt idx="125">
                  <c:v>39.681637293916999</c:v>
                </c:pt>
                <c:pt idx="126">
                  <c:v>35.935455734845178</c:v>
                </c:pt>
                <c:pt idx="127">
                  <c:v>33.134191176470587</c:v>
                </c:pt>
                <c:pt idx="128">
                  <c:v>35.535535535535537</c:v>
                </c:pt>
                <c:pt idx="129">
                  <c:v>41.009946442234124</c:v>
                </c:pt>
                <c:pt idx="130">
                  <c:v>70.199587061252586</c:v>
                </c:pt>
                <c:pt idx="131">
                  <c:v>31.644736842105264</c:v>
                </c:pt>
                <c:pt idx="132">
                  <c:v>33.720930232558139</c:v>
                </c:pt>
                <c:pt idx="133">
                  <c:v>33.635729239357993</c:v>
                </c:pt>
                <c:pt idx="134">
                  <c:v>28.324324324324323</c:v>
                </c:pt>
                <c:pt idx="135">
                  <c:v>41.544291804831836</c:v>
                </c:pt>
                <c:pt idx="136">
                  <c:v>54.589371980676326</c:v>
                </c:pt>
                <c:pt idx="137">
                  <c:v>50.391644908616186</c:v>
                </c:pt>
                <c:pt idx="138">
                  <c:v>35.37117903930131</c:v>
                </c:pt>
                <c:pt idx="139">
                  <c:v>32.978251220594764</c:v>
                </c:pt>
                <c:pt idx="140">
                  <c:v>69.944444444444443</c:v>
                </c:pt>
                <c:pt idx="141">
                  <c:v>31.868640148011099</c:v>
                </c:pt>
                <c:pt idx="142">
                  <c:v>39.067055393586003</c:v>
                </c:pt>
                <c:pt idx="143">
                  <c:v>35.988620199146517</c:v>
                </c:pt>
                <c:pt idx="144">
                  <c:v>29.496402877697843</c:v>
                </c:pt>
                <c:pt idx="145">
                  <c:v>36.228482003129891</c:v>
                </c:pt>
                <c:pt idx="146">
                  <c:v>32.619775739041792</c:v>
                </c:pt>
                <c:pt idx="147">
                  <c:v>32.914704343275773</c:v>
                </c:pt>
                <c:pt idx="148">
                  <c:v>36.454703832752614</c:v>
                </c:pt>
                <c:pt idx="149">
                  <c:v>38.655077767612077</c:v>
                </c:pt>
                <c:pt idx="150">
                  <c:v>26.343679031037095</c:v>
                </c:pt>
                <c:pt idx="151">
                  <c:v>27.943661971830984</c:v>
                </c:pt>
                <c:pt idx="152">
                  <c:v>30.517423442449843</c:v>
                </c:pt>
                <c:pt idx="153">
                  <c:v>24.29951690821256</c:v>
                </c:pt>
                <c:pt idx="154">
                  <c:v>25.819672131147541</c:v>
                </c:pt>
                <c:pt idx="155">
                  <c:v>21.834574676597413</c:v>
                </c:pt>
                <c:pt idx="156">
                  <c:v>30.424366872005475</c:v>
                </c:pt>
                <c:pt idx="157">
                  <c:v>53.324468085106382</c:v>
                </c:pt>
                <c:pt idx="158">
                  <c:v>50.189155107187894</c:v>
                </c:pt>
                <c:pt idx="159">
                  <c:v>31.138070479491624</c:v>
                </c:pt>
                <c:pt idx="160">
                  <c:v>44.290976058931861</c:v>
                </c:pt>
                <c:pt idx="161">
                  <c:v>25.94183740912095</c:v>
                </c:pt>
                <c:pt idx="162">
                  <c:v>21.28082736674622</c:v>
                </c:pt>
                <c:pt idx="163">
                  <c:v>25.129982668977469</c:v>
                </c:pt>
                <c:pt idx="164">
                  <c:v>25.090415913200722</c:v>
                </c:pt>
                <c:pt idx="165">
                  <c:v>25.754443985117817</c:v>
                </c:pt>
                <c:pt idx="166">
                  <c:v>23.076923076923077</c:v>
                </c:pt>
                <c:pt idx="167">
                  <c:v>21.449766850360323</c:v>
                </c:pt>
                <c:pt idx="168">
                  <c:v>24.780256930358352</c:v>
                </c:pt>
                <c:pt idx="169">
                  <c:v>17.890520694259013</c:v>
                </c:pt>
                <c:pt idx="170">
                  <c:v>21.104018024784079</c:v>
                </c:pt>
                <c:pt idx="171">
                  <c:v>40.642129992169146</c:v>
                </c:pt>
                <c:pt idx="172">
                  <c:v>33.180987202925046</c:v>
                </c:pt>
                <c:pt idx="173">
                  <c:v>30.762987012987011</c:v>
                </c:pt>
                <c:pt idx="174">
                  <c:v>35.679374389051809</c:v>
                </c:pt>
                <c:pt idx="175">
                  <c:v>37.286135693215343</c:v>
                </c:pt>
                <c:pt idx="176">
                  <c:v>47.942754919499109</c:v>
                </c:pt>
                <c:pt idx="177">
                  <c:v>62.786745964316054</c:v>
                </c:pt>
                <c:pt idx="178">
                  <c:v>31.561461794019934</c:v>
                </c:pt>
                <c:pt idx="179">
                  <c:v>40.958268933539415</c:v>
                </c:pt>
                <c:pt idx="180">
                  <c:v>42.378048780487802</c:v>
                </c:pt>
                <c:pt idx="181">
                  <c:v>23.970037453183522</c:v>
                </c:pt>
              </c:numCache>
            </c:numRef>
          </c:xVal>
          <c:yVal>
            <c:numRef>
              <c:f>'Мособлдума партии'!$AF$2:$AF$183</c:f>
              <c:numCache>
                <c:formatCode>0.0</c:formatCode>
                <c:ptCount val="182"/>
                <c:pt idx="0">
                  <c:v>6.4797507788161992</c:v>
                </c:pt>
                <c:pt idx="1">
                  <c:v>5.4393305439330542</c:v>
                </c:pt>
                <c:pt idx="2">
                  <c:v>1.2844036697247707</c:v>
                </c:pt>
                <c:pt idx="3">
                  <c:v>0.86505190311418689</c:v>
                </c:pt>
                <c:pt idx="4">
                  <c:v>8.9130434782608692</c:v>
                </c:pt>
                <c:pt idx="5">
                  <c:v>5.617977528089888</c:v>
                </c:pt>
                <c:pt idx="6">
                  <c:v>8.8888888888888893</c:v>
                </c:pt>
                <c:pt idx="7">
                  <c:v>4.4740973312401886</c:v>
                </c:pt>
                <c:pt idx="8">
                  <c:v>6.2585034013605441</c:v>
                </c:pt>
                <c:pt idx="9">
                  <c:v>5.6019070321811677</c:v>
                </c:pt>
                <c:pt idx="10">
                  <c:v>5.105633802816901</c:v>
                </c:pt>
                <c:pt idx="11">
                  <c:v>2.5039123630672928</c:v>
                </c:pt>
                <c:pt idx="12">
                  <c:v>4.9733570159857905</c:v>
                </c:pt>
                <c:pt idx="13">
                  <c:v>8.0820265379975869</c:v>
                </c:pt>
                <c:pt idx="14">
                  <c:v>7.0671378091872787</c:v>
                </c:pt>
                <c:pt idx="15">
                  <c:v>7.1917808219178081</c:v>
                </c:pt>
                <c:pt idx="16">
                  <c:v>1.7543859649122806</c:v>
                </c:pt>
                <c:pt idx="17">
                  <c:v>8.0310880829015545</c:v>
                </c:pt>
                <c:pt idx="18">
                  <c:v>3.4855769230769229</c:v>
                </c:pt>
                <c:pt idx="19">
                  <c:v>7.3422957600827301</c:v>
                </c:pt>
                <c:pt idx="20">
                  <c:v>10.70615034168565</c:v>
                </c:pt>
                <c:pt idx="21">
                  <c:v>5.1440329218106999</c:v>
                </c:pt>
                <c:pt idx="22">
                  <c:v>5.637982195845697</c:v>
                </c:pt>
                <c:pt idx="23">
                  <c:v>7.6618229854689561</c:v>
                </c:pt>
                <c:pt idx="24">
                  <c:v>6.5527065527065531</c:v>
                </c:pt>
                <c:pt idx="25">
                  <c:v>7.0707070707070709</c:v>
                </c:pt>
                <c:pt idx="26">
                  <c:v>7.4154852780806984</c:v>
                </c:pt>
                <c:pt idx="27">
                  <c:v>7.5177304964539005</c:v>
                </c:pt>
                <c:pt idx="28">
                  <c:v>7.1229050279329611</c:v>
                </c:pt>
                <c:pt idx="29">
                  <c:v>6.25</c:v>
                </c:pt>
                <c:pt idx="30">
                  <c:v>8.604651162790697</c:v>
                </c:pt>
                <c:pt idx="31">
                  <c:v>6.3157894736842106</c:v>
                </c:pt>
                <c:pt idx="32">
                  <c:v>6.1099796334012222</c:v>
                </c:pt>
                <c:pt idx="33">
                  <c:v>7.1856287425149699</c:v>
                </c:pt>
                <c:pt idx="34">
                  <c:v>6.0846560846560847</c:v>
                </c:pt>
                <c:pt idx="35">
                  <c:v>5.1790281329923271</c:v>
                </c:pt>
                <c:pt idx="36">
                  <c:v>1.3412816691505216</c:v>
                </c:pt>
                <c:pt idx="37">
                  <c:v>3.1767955801104972</c:v>
                </c:pt>
                <c:pt idx="38">
                  <c:v>3.8805970149253732</c:v>
                </c:pt>
                <c:pt idx="39">
                  <c:v>3.6101083032490973</c:v>
                </c:pt>
                <c:pt idx="40">
                  <c:v>7.3593073593073592</c:v>
                </c:pt>
                <c:pt idx="41">
                  <c:v>12.883435582822086</c:v>
                </c:pt>
                <c:pt idx="42">
                  <c:v>8.3612040133779271</c:v>
                </c:pt>
                <c:pt idx="43">
                  <c:v>8.472400513478819</c:v>
                </c:pt>
                <c:pt idx="44">
                  <c:v>2.9003783102143759</c:v>
                </c:pt>
                <c:pt idx="45">
                  <c:v>3.2722513089005236</c:v>
                </c:pt>
                <c:pt idx="46">
                  <c:v>5.7347670250896057</c:v>
                </c:pt>
                <c:pt idx="47">
                  <c:v>6.0457516339869279</c:v>
                </c:pt>
                <c:pt idx="48">
                  <c:v>6.5368567454798328</c:v>
                </c:pt>
                <c:pt idx="49">
                  <c:v>6.6833751044277356</c:v>
                </c:pt>
                <c:pt idx="50">
                  <c:v>11.481975967957275</c:v>
                </c:pt>
                <c:pt idx="51">
                  <c:v>7.8431372549019605</c:v>
                </c:pt>
                <c:pt idx="52">
                  <c:v>7.8236130867709814</c:v>
                </c:pt>
                <c:pt idx="53">
                  <c:v>2.7295285359801489</c:v>
                </c:pt>
                <c:pt idx="54">
                  <c:v>6.4625850340136051</c:v>
                </c:pt>
                <c:pt idx="55">
                  <c:v>7.9591836734693882</c:v>
                </c:pt>
                <c:pt idx="56">
                  <c:v>5.8359621451104102</c:v>
                </c:pt>
                <c:pt idx="57">
                  <c:v>9.041980624327234</c:v>
                </c:pt>
                <c:pt idx="58">
                  <c:v>9.4117647058823533</c:v>
                </c:pt>
                <c:pt idx="59">
                  <c:v>6.8159688412852972</c:v>
                </c:pt>
                <c:pt idx="60">
                  <c:v>8.7458745874587454</c:v>
                </c:pt>
                <c:pt idx="61">
                  <c:v>5.6694813027744271</c:v>
                </c:pt>
                <c:pt idx="62">
                  <c:v>10.687022900763358</c:v>
                </c:pt>
                <c:pt idx="63">
                  <c:v>6.6265060240963853</c:v>
                </c:pt>
                <c:pt idx="64">
                  <c:v>6.4814814814814818</c:v>
                </c:pt>
                <c:pt idx="65">
                  <c:v>3.6780013879250522</c:v>
                </c:pt>
                <c:pt idx="66">
                  <c:v>4.3383947939262475</c:v>
                </c:pt>
                <c:pt idx="67">
                  <c:v>6.9565217391304346</c:v>
                </c:pt>
                <c:pt idx="68">
                  <c:v>4.7803617571059434</c:v>
                </c:pt>
                <c:pt idx="69">
                  <c:v>8.761329305135952</c:v>
                </c:pt>
                <c:pt idx="70">
                  <c:v>6.7469879518072293</c:v>
                </c:pt>
                <c:pt idx="71">
                  <c:v>5.4704595185995624</c:v>
                </c:pt>
                <c:pt idx="72">
                  <c:v>7.4652777777777777</c:v>
                </c:pt>
                <c:pt idx="73">
                  <c:v>8.9709762532981525</c:v>
                </c:pt>
                <c:pt idx="74">
                  <c:v>10.95890410958904</c:v>
                </c:pt>
                <c:pt idx="75">
                  <c:v>2.0569620253164556</c:v>
                </c:pt>
                <c:pt idx="76">
                  <c:v>4.8579285059578368</c:v>
                </c:pt>
                <c:pt idx="77">
                  <c:v>5.1863857374392222</c:v>
                </c:pt>
                <c:pt idx="78">
                  <c:v>7.1332436069986542</c:v>
                </c:pt>
                <c:pt idx="79">
                  <c:v>2.7972027972027971</c:v>
                </c:pt>
                <c:pt idx="80">
                  <c:v>7.354838709677419</c:v>
                </c:pt>
                <c:pt idx="81">
                  <c:v>11.317567567567568</c:v>
                </c:pt>
                <c:pt idx="82">
                  <c:v>9.6385542168674707</c:v>
                </c:pt>
                <c:pt idx="83">
                  <c:v>6.3973063973063971</c:v>
                </c:pt>
                <c:pt idx="84">
                  <c:v>5.6463595839524521</c:v>
                </c:pt>
                <c:pt idx="85">
                  <c:v>7.4242424242424239</c:v>
                </c:pt>
                <c:pt idx="86">
                  <c:v>8.2595870206489668</c:v>
                </c:pt>
                <c:pt idx="87">
                  <c:v>6.6878980891719744</c:v>
                </c:pt>
                <c:pt idx="88">
                  <c:v>6.2015503875968996</c:v>
                </c:pt>
                <c:pt idx="89">
                  <c:v>5.9523809523809526</c:v>
                </c:pt>
                <c:pt idx="90">
                  <c:v>4.8596112311015123</c:v>
                </c:pt>
                <c:pt idx="91">
                  <c:v>4.927884615384615</c:v>
                </c:pt>
                <c:pt idx="92">
                  <c:v>5.2186177715091677</c:v>
                </c:pt>
                <c:pt idx="93">
                  <c:v>4.3842682140554485</c:v>
                </c:pt>
                <c:pt idx="94">
                  <c:v>3.6984352773826457</c:v>
                </c:pt>
                <c:pt idx="95">
                  <c:v>5.1239669421487601</c:v>
                </c:pt>
                <c:pt idx="96">
                  <c:v>2.7083333333333335</c:v>
                </c:pt>
                <c:pt idx="97">
                  <c:v>4.6696035242290748</c:v>
                </c:pt>
                <c:pt idx="98">
                  <c:v>3.491271820448878</c:v>
                </c:pt>
                <c:pt idx="99">
                  <c:v>10.097323600973237</c:v>
                </c:pt>
                <c:pt idx="100">
                  <c:v>9.2460881934566146</c:v>
                </c:pt>
                <c:pt idx="101">
                  <c:v>6.4347826086956523</c:v>
                </c:pt>
                <c:pt idx="102">
                  <c:v>6.4030131826741998</c:v>
                </c:pt>
                <c:pt idx="103">
                  <c:v>1.5151515151515151</c:v>
                </c:pt>
                <c:pt idx="104">
                  <c:v>1.25</c:v>
                </c:pt>
                <c:pt idx="105">
                  <c:v>6.345177664974619</c:v>
                </c:pt>
                <c:pt idx="106">
                  <c:v>9.9462365591397841</c:v>
                </c:pt>
                <c:pt idx="107">
                  <c:v>9.0354090354090353</c:v>
                </c:pt>
                <c:pt idx="108">
                  <c:v>8.0912863070539416</c:v>
                </c:pt>
                <c:pt idx="109">
                  <c:v>8.2222222222222214</c:v>
                </c:pt>
                <c:pt idx="110">
                  <c:v>11.637347767253045</c:v>
                </c:pt>
                <c:pt idx="111">
                  <c:v>8.8912133891213383</c:v>
                </c:pt>
                <c:pt idx="112">
                  <c:v>9.375</c:v>
                </c:pt>
                <c:pt idx="113">
                  <c:v>6.8610634648370494</c:v>
                </c:pt>
                <c:pt idx="114">
                  <c:v>5.5684454756380513</c:v>
                </c:pt>
                <c:pt idx="115">
                  <c:v>9.3589743589743595</c:v>
                </c:pt>
                <c:pt idx="116">
                  <c:v>6.4343163538873993</c:v>
                </c:pt>
                <c:pt idx="117">
                  <c:v>7.3699421965317917</c:v>
                </c:pt>
                <c:pt idx="118">
                  <c:v>0</c:v>
                </c:pt>
                <c:pt idx="119">
                  <c:v>8.1256771397616472</c:v>
                </c:pt>
                <c:pt idx="120">
                  <c:v>10.771470160116449</c:v>
                </c:pt>
                <c:pt idx="121">
                  <c:v>5.775577557755776</c:v>
                </c:pt>
                <c:pt idx="122">
                  <c:v>7.3573573573573574</c:v>
                </c:pt>
                <c:pt idx="123">
                  <c:v>8.3687943262411348</c:v>
                </c:pt>
                <c:pt idx="124">
                  <c:v>6.9356872635561162</c:v>
                </c:pt>
                <c:pt idx="125">
                  <c:v>7.1736011477761839</c:v>
                </c:pt>
                <c:pt idx="126">
                  <c:v>8.8592233009708732</c:v>
                </c:pt>
                <c:pt idx="127">
                  <c:v>10.124826629680999</c:v>
                </c:pt>
                <c:pt idx="128">
                  <c:v>12.112676056338028</c:v>
                </c:pt>
                <c:pt idx="129">
                  <c:v>7.08955223880597</c:v>
                </c:pt>
                <c:pt idx="130">
                  <c:v>11.650485436893204</c:v>
                </c:pt>
                <c:pt idx="131">
                  <c:v>7.9002079002079002</c:v>
                </c:pt>
                <c:pt idx="132">
                  <c:v>12.57606490872211</c:v>
                </c:pt>
                <c:pt idx="133">
                  <c:v>7.4688796680497926</c:v>
                </c:pt>
                <c:pt idx="134">
                  <c:v>11.450381679389313</c:v>
                </c:pt>
                <c:pt idx="135">
                  <c:v>8.2098061573546186</c:v>
                </c:pt>
                <c:pt idx="136">
                  <c:v>5.3097345132743365</c:v>
                </c:pt>
                <c:pt idx="137">
                  <c:v>5.2904564315352696</c:v>
                </c:pt>
                <c:pt idx="138">
                  <c:v>8.5714285714285712</c:v>
                </c:pt>
                <c:pt idx="139">
                  <c:v>10.767160161507402</c:v>
                </c:pt>
                <c:pt idx="140">
                  <c:v>0.31771247021445592</c:v>
                </c:pt>
                <c:pt idx="141">
                  <c:v>11.901306240928882</c:v>
                </c:pt>
                <c:pt idx="142">
                  <c:v>7.187894073139975</c:v>
                </c:pt>
                <c:pt idx="143">
                  <c:v>6.4245810055865924</c:v>
                </c:pt>
                <c:pt idx="144">
                  <c:v>8.1300813008130088</c:v>
                </c:pt>
                <c:pt idx="145">
                  <c:v>9.7192224622030245</c:v>
                </c:pt>
                <c:pt idx="146">
                  <c:v>3.4375</c:v>
                </c:pt>
                <c:pt idx="147">
                  <c:v>6.995230524642289</c:v>
                </c:pt>
                <c:pt idx="148">
                  <c:v>6.2350119904076742</c:v>
                </c:pt>
                <c:pt idx="149">
                  <c:v>6.6350710900473935</c:v>
                </c:pt>
                <c:pt idx="150">
                  <c:v>9.3390804597701145</c:v>
                </c:pt>
                <c:pt idx="151">
                  <c:v>10.887096774193548</c:v>
                </c:pt>
                <c:pt idx="152">
                  <c:v>8.3044982698961931</c:v>
                </c:pt>
                <c:pt idx="153">
                  <c:v>10.735586481113319</c:v>
                </c:pt>
                <c:pt idx="154">
                  <c:v>14.638447971781305</c:v>
                </c:pt>
                <c:pt idx="155">
                  <c:v>12.028725314183124</c:v>
                </c:pt>
                <c:pt idx="156">
                  <c:v>4.8368953880764902</c:v>
                </c:pt>
                <c:pt idx="157">
                  <c:v>4.7619047619047619</c:v>
                </c:pt>
                <c:pt idx="158">
                  <c:v>8.0555555555555554</c:v>
                </c:pt>
                <c:pt idx="159">
                  <c:v>10.714285714285714</c:v>
                </c:pt>
                <c:pt idx="160">
                  <c:v>5.8212058212058215</c:v>
                </c:pt>
                <c:pt idx="161">
                  <c:v>14.303959131545339</c:v>
                </c:pt>
                <c:pt idx="162">
                  <c:v>10.467289719626168</c:v>
                </c:pt>
                <c:pt idx="163">
                  <c:v>8.9810017271157161</c:v>
                </c:pt>
                <c:pt idx="164">
                  <c:v>13.153153153153154</c:v>
                </c:pt>
                <c:pt idx="165">
                  <c:v>10.593900481540931</c:v>
                </c:pt>
                <c:pt idx="166">
                  <c:v>10.590631364562118</c:v>
                </c:pt>
                <c:pt idx="167">
                  <c:v>10.934393638170974</c:v>
                </c:pt>
                <c:pt idx="168">
                  <c:v>7.6398362892223739</c:v>
                </c:pt>
                <c:pt idx="169">
                  <c:v>11.71875</c:v>
                </c:pt>
                <c:pt idx="170">
                  <c:v>9.7864768683274015</c:v>
                </c:pt>
                <c:pt idx="171">
                  <c:v>5.3949903660886322</c:v>
                </c:pt>
                <c:pt idx="172">
                  <c:v>6.887052341597796</c:v>
                </c:pt>
                <c:pt idx="173">
                  <c:v>8.7071240105540895</c:v>
                </c:pt>
                <c:pt idx="174">
                  <c:v>5.4794520547945202</c:v>
                </c:pt>
                <c:pt idx="175">
                  <c:v>6.205673758865248</c:v>
                </c:pt>
                <c:pt idx="176">
                  <c:v>6.2189054726368163</c:v>
                </c:pt>
                <c:pt idx="177">
                  <c:v>3.7889039242219216</c:v>
                </c:pt>
                <c:pt idx="178">
                  <c:v>4.5614035087719298</c:v>
                </c:pt>
                <c:pt idx="179">
                  <c:v>5.8490566037735849</c:v>
                </c:pt>
                <c:pt idx="180">
                  <c:v>5.8992805755395681</c:v>
                </c:pt>
                <c:pt idx="181">
                  <c:v>7.03125</c:v>
                </c:pt>
              </c:numCache>
            </c:numRef>
          </c:yVal>
          <c:bubbleSize>
            <c:numRef>
              <c:f>'Мособлдума партии'!$J$2:$J$183</c:f>
              <c:numCache>
                <c:formatCode>General</c:formatCode>
                <c:ptCount val="182"/>
                <c:pt idx="0">
                  <c:v>2451</c:v>
                </c:pt>
                <c:pt idx="1">
                  <c:v>1792</c:v>
                </c:pt>
                <c:pt idx="2">
                  <c:v>1987</c:v>
                </c:pt>
                <c:pt idx="3">
                  <c:v>2122</c:v>
                </c:pt>
                <c:pt idx="4">
                  <c:v>1909</c:v>
                </c:pt>
                <c:pt idx="5">
                  <c:v>1948</c:v>
                </c:pt>
                <c:pt idx="6">
                  <c:v>1966</c:v>
                </c:pt>
                <c:pt idx="7">
                  <c:v>1755</c:v>
                </c:pt>
                <c:pt idx="8">
                  <c:v>2053</c:v>
                </c:pt>
                <c:pt idx="9">
                  <c:v>2353</c:v>
                </c:pt>
                <c:pt idx="10">
                  <c:v>2236</c:v>
                </c:pt>
                <c:pt idx="11">
                  <c:v>878</c:v>
                </c:pt>
                <c:pt idx="12">
                  <c:v>1109</c:v>
                </c:pt>
                <c:pt idx="13">
                  <c:v>2346</c:v>
                </c:pt>
                <c:pt idx="14">
                  <c:v>1222</c:v>
                </c:pt>
                <c:pt idx="15">
                  <c:v>1986</c:v>
                </c:pt>
                <c:pt idx="16">
                  <c:v>391</c:v>
                </c:pt>
                <c:pt idx="17">
                  <c:v>1248</c:v>
                </c:pt>
                <c:pt idx="18">
                  <c:v>1716</c:v>
                </c:pt>
                <c:pt idx="19">
                  <c:v>2695</c:v>
                </c:pt>
                <c:pt idx="20">
                  <c:v>1800</c:v>
                </c:pt>
                <c:pt idx="21">
                  <c:v>2108</c:v>
                </c:pt>
                <c:pt idx="22">
                  <c:v>2215</c:v>
                </c:pt>
                <c:pt idx="23">
                  <c:v>2112</c:v>
                </c:pt>
                <c:pt idx="24">
                  <c:v>2268</c:v>
                </c:pt>
                <c:pt idx="25">
                  <c:v>2112</c:v>
                </c:pt>
                <c:pt idx="26">
                  <c:v>2016</c:v>
                </c:pt>
                <c:pt idx="27">
                  <c:v>2330</c:v>
                </c:pt>
                <c:pt idx="28">
                  <c:v>1867</c:v>
                </c:pt>
                <c:pt idx="29">
                  <c:v>1777</c:v>
                </c:pt>
                <c:pt idx="30">
                  <c:v>1121</c:v>
                </c:pt>
                <c:pt idx="31">
                  <c:v>2249</c:v>
                </c:pt>
                <c:pt idx="32">
                  <c:v>1262</c:v>
                </c:pt>
                <c:pt idx="33">
                  <c:v>553</c:v>
                </c:pt>
                <c:pt idx="34">
                  <c:v>932</c:v>
                </c:pt>
                <c:pt idx="35">
                  <c:v>2579</c:v>
                </c:pt>
                <c:pt idx="36">
                  <c:v>1659</c:v>
                </c:pt>
                <c:pt idx="37">
                  <c:v>1947</c:v>
                </c:pt>
                <c:pt idx="38">
                  <c:v>857</c:v>
                </c:pt>
                <c:pt idx="39">
                  <c:v>1412</c:v>
                </c:pt>
                <c:pt idx="40">
                  <c:v>2047</c:v>
                </c:pt>
                <c:pt idx="41">
                  <c:v>536</c:v>
                </c:pt>
                <c:pt idx="42">
                  <c:v>2687</c:v>
                </c:pt>
                <c:pt idx="43">
                  <c:v>2348</c:v>
                </c:pt>
                <c:pt idx="44">
                  <c:v>2383</c:v>
                </c:pt>
                <c:pt idx="45">
                  <c:v>1001</c:v>
                </c:pt>
                <c:pt idx="46">
                  <c:v>439</c:v>
                </c:pt>
                <c:pt idx="47">
                  <c:v>1596</c:v>
                </c:pt>
                <c:pt idx="48">
                  <c:v>1548</c:v>
                </c:pt>
                <c:pt idx="49">
                  <c:v>2222</c:v>
                </c:pt>
                <c:pt idx="50">
                  <c:v>1888</c:v>
                </c:pt>
                <c:pt idx="51">
                  <c:v>1665</c:v>
                </c:pt>
                <c:pt idx="52">
                  <c:v>1691</c:v>
                </c:pt>
                <c:pt idx="53">
                  <c:v>517</c:v>
                </c:pt>
                <c:pt idx="54">
                  <c:v>1745</c:v>
                </c:pt>
                <c:pt idx="55">
                  <c:v>1453</c:v>
                </c:pt>
                <c:pt idx="56">
                  <c:v>1496</c:v>
                </c:pt>
                <c:pt idx="57">
                  <c:v>2669</c:v>
                </c:pt>
                <c:pt idx="58">
                  <c:v>2799</c:v>
                </c:pt>
                <c:pt idx="59">
                  <c:v>2544</c:v>
                </c:pt>
                <c:pt idx="60">
                  <c:v>1670</c:v>
                </c:pt>
                <c:pt idx="61">
                  <c:v>1891</c:v>
                </c:pt>
                <c:pt idx="62">
                  <c:v>1984</c:v>
                </c:pt>
                <c:pt idx="63">
                  <c:v>628</c:v>
                </c:pt>
                <c:pt idx="64">
                  <c:v>1469</c:v>
                </c:pt>
                <c:pt idx="65">
                  <c:v>2564</c:v>
                </c:pt>
                <c:pt idx="66">
                  <c:v>711</c:v>
                </c:pt>
                <c:pt idx="67">
                  <c:v>676</c:v>
                </c:pt>
                <c:pt idx="68">
                  <c:v>1747</c:v>
                </c:pt>
                <c:pt idx="69">
                  <c:v>1907</c:v>
                </c:pt>
                <c:pt idx="70">
                  <c:v>1194</c:v>
                </c:pt>
                <c:pt idx="71">
                  <c:v>1129</c:v>
                </c:pt>
                <c:pt idx="72">
                  <c:v>1498</c:v>
                </c:pt>
                <c:pt idx="73">
                  <c:v>1859</c:v>
                </c:pt>
                <c:pt idx="74">
                  <c:v>1315</c:v>
                </c:pt>
                <c:pt idx="75">
                  <c:v>1300</c:v>
                </c:pt>
                <c:pt idx="76">
                  <c:v>2038</c:v>
                </c:pt>
                <c:pt idx="77">
                  <c:v>1190</c:v>
                </c:pt>
                <c:pt idx="78">
                  <c:v>1521</c:v>
                </c:pt>
                <c:pt idx="79">
                  <c:v>710</c:v>
                </c:pt>
                <c:pt idx="80">
                  <c:v>1525</c:v>
                </c:pt>
                <c:pt idx="81">
                  <c:v>1495</c:v>
                </c:pt>
                <c:pt idx="82">
                  <c:v>1808</c:v>
                </c:pt>
                <c:pt idx="83">
                  <c:v>2012</c:v>
                </c:pt>
                <c:pt idx="84">
                  <c:v>1681</c:v>
                </c:pt>
                <c:pt idx="85">
                  <c:v>1685</c:v>
                </c:pt>
                <c:pt idx="86">
                  <c:v>1529</c:v>
                </c:pt>
                <c:pt idx="87">
                  <c:v>1800</c:v>
                </c:pt>
                <c:pt idx="88">
                  <c:v>1896</c:v>
                </c:pt>
                <c:pt idx="89">
                  <c:v>1963</c:v>
                </c:pt>
                <c:pt idx="90">
                  <c:v>1902</c:v>
                </c:pt>
                <c:pt idx="91">
                  <c:v>1647</c:v>
                </c:pt>
                <c:pt idx="92">
                  <c:v>1316</c:v>
                </c:pt>
                <c:pt idx="93">
                  <c:v>2424</c:v>
                </c:pt>
                <c:pt idx="94">
                  <c:v>2162</c:v>
                </c:pt>
                <c:pt idx="95">
                  <c:v>1230</c:v>
                </c:pt>
                <c:pt idx="96">
                  <c:v>901</c:v>
                </c:pt>
                <c:pt idx="97">
                  <c:v>2387</c:v>
                </c:pt>
                <c:pt idx="98">
                  <c:v>1535</c:v>
                </c:pt>
                <c:pt idx="99">
                  <c:v>2645</c:v>
                </c:pt>
                <c:pt idx="100">
                  <c:v>2043</c:v>
                </c:pt>
                <c:pt idx="101">
                  <c:v>1990</c:v>
                </c:pt>
                <c:pt idx="102">
                  <c:v>988</c:v>
                </c:pt>
                <c:pt idx="103">
                  <c:v>132</c:v>
                </c:pt>
                <c:pt idx="104">
                  <c:v>83</c:v>
                </c:pt>
                <c:pt idx="105">
                  <c:v>1763</c:v>
                </c:pt>
                <c:pt idx="106">
                  <c:v>1063</c:v>
                </c:pt>
                <c:pt idx="107">
                  <c:v>2316</c:v>
                </c:pt>
                <c:pt idx="108">
                  <c:v>1250</c:v>
                </c:pt>
                <c:pt idx="109">
                  <c:v>1265</c:v>
                </c:pt>
                <c:pt idx="110">
                  <c:v>1736</c:v>
                </c:pt>
                <c:pt idx="111">
                  <c:v>2586</c:v>
                </c:pt>
                <c:pt idx="112">
                  <c:v>1243</c:v>
                </c:pt>
                <c:pt idx="113">
                  <c:v>1451</c:v>
                </c:pt>
                <c:pt idx="114">
                  <c:v>1179</c:v>
                </c:pt>
                <c:pt idx="115">
                  <c:v>2285</c:v>
                </c:pt>
                <c:pt idx="116">
                  <c:v>1678</c:v>
                </c:pt>
                <c:pt idx="117">
                  <c:v>2025</c:v>
                </c:pt>
                <c:pt idx="118">
                  <c:v>0</c:v>
                </c:pt>
                <c:pt idx="119">
                  <c:v>2430</c:v>
                </c:pt>
                <c:pt idx="120">
                  <c:v>2209</c:v>
                </c:pt>
                <c:pt idx="121">
                  <c:v>2330</c:v>
                </c:pt>
                <c:pt idx="122">
                  <c:v>2013</c:v>
                </c:pt>
                <c:pt idx="123">
                  <c:v>2023</c:v>
                </c:pt>
                <c:pt idx="124">
                  <c:v>2032</c:v>
                </c:pt>
                <c:pt idx="125">
                  <c:v>1759</c:v>
                </c:pt>
                <c:pt idx="126">
                  <c:v>2293</c:v>
                </c:pt>
                <c:pt idx="127">
                  <c:v>2176</c:v>
                </c:pt>
                <c:pt idx="128">
                  <c:v>1998</c:v>
                </c:pt>
                <c:pt idx="129">
                  <c:v>1307</c:v>
                </c:pt>
                <c:pt idx="130">
                  <c:v>1453</c:v>
                </c:pt>
                <c:pt idx="131">
                  <c:v>1520</c:v>
                </c:pt>
                <c:pt idx="132">
                  <c:v>1462</c:v>
                </c:pt>
                <c:pt idx="133">
                  <c:v>1433</c:v>
                </c:pt>
                <c:pt idx="134">
                  <c:v>1850</c:v>
                </c:pt>
                <c:pt idx="135">
                  <c:v>2111</c:v>
                </c:pt>
                <c:pt idx="136">
                  <c:v>1035</c:v>
                </c:pt>
                <c:pt idx="137">
                  <c:v>1915</c:v>
                </c:pt>
                <c:pt idx="138">
                  <c:v>2290</c:v>
                </c:pt>
                <c:pt idx="139">
                  <c:v>2253</c:v>
                </c:pt>
                <c:pt idx="140">
                  <c:v>1800</c:v>
                </c:pt>
                <c:pt idx="141">
                  <c:v>2162</c:v>
                </c:pt>
                <c:pt idx="142">
                  <c:v>2058</c:v>
                </c:pt>
                <c:pt idx="143">
                  <c:v>2109</c:v>
                </c:pt>
                <c:pt idx="144">
                  <c:v>1251</c:v>
                </c:pt>
                <c:pt idx="145">
                  <c:v>1278</c:v>
                </c:pt>
                <c:pt idx="146">
                  <c:v>981</c:v>
                </c:pt>
                <c:pt idx="147">
                  <c:v>1911</c:v>
                </c:pt>
                <c:pt idx="148">
                  <c:v>2296</c:v>
                </c:pt>
                <c:pt idx="149">
                  <c:v>2186</c:v>
                </c:pt>
                <c:pt idx="150">
                  <c:v>2642</c:v>
                </c:pt>
                <c:pt idx="151">
                  <c:v>1775</c:v>
                </c:pt>
                <c:pt idx="152">
                  <c:v>1894</c:v>
                </c:pt>
                <c:pt idx="153">
                  <c:v>2070</c:v>
                </c:pt>
                <c:pt idx="154">
                  <c:v>2196</c:v>
                </c:pt>
                <c:pt idx="155">
                  <c:v>2551</c:v>
                </c:pt>
                <c:pt idx="156">
                  <c:v>2922</c:v>
                </c:pt>
                <c:pt idx="157">
                  <c:v>752</c:v>
                </c:pt>
                <c:pt idx="158">
                  <c:v>793</c:v>
                </c:pt>
                <c:pt idx="159">
                  <c:v>1731</c:v>
                </c:pt>
                <c:pt idx="160">
                  <c:v>1086</c:v>
                </c:pt>
                <c:pt idx="161">
                  <c:v>3026</c:v>
                </c:pt>
                <c:pt idx="162">
                  <c:v>2514</c:v>
                </c:pt>
                <c:pt idx="163">
                  <c:v>2308</c:v>
                </c:pt>
                <c:pt idx="164">
                  <c:v>2212</c:v>
                </c:pt>
                <c:pt idx="165">
                  <c:v>2419</c:v>
                </c:pt>
                <c:pt idx="166">
                  <c:v>2132</c:v>
                </c:pt>
                <c:pt idx="167">
                  <c:v>2359</c:v>
                </c:pt>
                <c:pt idx="168">
                  <c:v>2958</c:v>
                </c:pt>
                <c:pt idx="169">
                  <c:v>749</c:v>
                </c:pt>
                <c:pt idx="170">
                  <c:v>2663</c:v>
                </c:pt>
                <c:pt idx="171">
                  <c:v>1277</c:v>
                </c:pt>
                <c:pt idx="172">
                  <c:v>1094</c:v>
                </c:pt>
                <c:pt idx="173">
                  <c:v>1232</c:v>
                </c:pt>
                <c:pt idx="174">
                  <c:v>1023</c:v>
                </c:pt>
                <c:pt idx="175">
                  <c:v>1695</c:v>
                </c:pt>
                <c:pt idx="176">
                  <c:v>1677</c:v>
                </c:pt>
                <c:pt idx="177">
                  <c:v>2354</c:v>
                </c:pt>
                <c:pt idx="178">
                  <c:v>1806</c:v>
                </c:pt>
                <c:pt idx="179">
                  <c:v>1294</c:v>
                </c:pt>
                <c:pt idx="180">
                  <c:v>1640</c:v>
                </c:pt>
                <c:pt idx="181">
                  <c:v>1068</c:v>
                </c:pt>
              </c:numCache>
            </c:numRef>
          </c:bubbleSize>
          <c:bubble3D val="0"/>
          <c:extLst>
            <c:ext xmlns:c16="http://schemas.microsoft.com/office/drawing/2014/chart" uri="{C3380CC4-5D6E-409C-BE32-E72D297353CC}">
              <c16:uniqueId val="{00000002-2D10-4E5E-9489-B18E1CFA942D}"/>
            </c:ext>
          </c:extLst>
        </c:ser>
        <c:ser>
          <c:idx val="11"/>
          <c:order val="3"/>
          <c:tx>
            <c:strRef>
              <c:f>'Мособлдума партии'!$AH$1</c:f>
              <c:strCache>
                <c:ptCount val="1"/>
                <c:pt idx="0">
                  <c:v>Пенсионеров</c:v>
                </c:pt>
              </c:strCache>
            </c:strRef>
          </c:tx>
          <c:spPr>
            <a:solidFill>
              <a:srgbClr val="996633">
                <a:alpha val="49804"/>
              </a:srgbClr>
            </a:solidFill>
            <a:ln w="25400">
              <a:noFill/>
            </a:ln>
            <a:effectLst/>
          </c:spPr>
          <c:invertIfNegative val="0"/>
          <c:xVal>
            <c:numRef>
              <c:f>'Мособлдума партии'!$O$2:$O$183</c:f>
              <c:numCache>
                <c:formatCode>0.0</c:formatCode>
                <c:ptCount val="182"/>
                <c:pt idx="0">
                  <c:v>65.483476132190944</c:v>
                </c:pt>
                <c:pt idx="1">
                  <c:v>53.515625</c:v>
                </c:pt>
                <c:pt idx="2">
                  <c:v>54.8565676899849</c:v>
                </c:pt>
                <c:pt idx="3">
                  <c:v>54.665409990574929</c:v>
                </c:pt>
                <c:pt idx="4">
                  <c:v>48.402304871660554</c:v>
                </c:pt>
                <c:pt idx="5">
                  <c:v>50.359342915811091</c:v>
                </c:pt>
                <c:pt idx="6">
                  <c:v>59.511698880976603</c:v>
                </c:pt>
                <c:pt idx="7">
                  <c:v>73.105413105413106</c:v>
                </c:pt>
                <c:pt idx="8">
                  <c:v>71.602532878714072</c:v>
                </c:pt>
                <c:pt idx="9">
                  <c:v>36.124096897577559</c:v>
                </c:pt>
                <c:pt idx="10">
                  <c:v>25.402504472271914</c:v>
                </c:pt>
                <c:pt idx="11">
                  <c:v>72.779043280182236</c:v>
                </c:pt>
                <c:pt idx="12">
                  <c:v>50.76645626690712</c:v>
                </c:pt>
                <c:pt idx="13">
                  <c:v>35.336743393009378</c:v>
                </c:pt>
                <c:pt idx="14">
                  <c:v>46.317512274959086</c:v>
                </c:pt>
                <c:pt idx="15">
                  <c:v>29.405840886203425</c:v>
                </c:pt>
                <c:pt idx="16">
                  <c:v>43.734015345268546</c:v>
                </c:pt>
                <c:pt idx="17">
                  <c:v>31.410256410256409</c:v>
                </c:pt>
                <c:pt idx="18">
                  <c:v>48.484848484848484</c:v>
                </c:pt>
                <c:pt idx="19">
                  <c:v>35.881261595547308</c:v>
                </c:pt>
                <c:pt idx="20">
                  <c:v>24.388888888888889</c:v>
                </c:pt>
                <c:pt idx="21">
                  <c:v>46.110056925996204</c:v>
                </c:pt>
                <c:pt idx="22">
                  <c:v>30.428893905191874</c:v>
                </c:pt>
                <c:pt idx="23">
                  <c:v>35.842803030303031</c:v>
                </c:pt>
                <c:pt idx="24">
                  <c:v>30.996472663139329</c:v>
                </c:pt>
                <c:pt idx="25">
                  <c:v>37.5</c:v>
                </c:pt>
                <c:pt idx="26">
                  <c:v>45.486111111111114</c:v>
                </c:pt>
                <c:pt idx="27">
                  <c:v>30.472103004291846</c:v>
                </c:pt>
                <c:pt idx="28">
                  <c:v>38.564542046063202</c:v>
                </c:pt>
                <c:pt idx="29">
                  <c:v>34.21496904895892</c:v>
                </c:pt>
                <c:pt idx="30">
                  <c:v>38.358608385370204</c:v>
                </c:pt>
                <c:pt idx="31">
                  <c:v>29.568697198755004</c:v>
                </c:pt>
                <c:pt idx="32">
                  <c:v>38.906497622820922</c:v>
                </c:pt>
                <c:pt idx="33">
                  <c:v>60.397830018083184</c:v>
                </c:pt>
                <c:pt idx="34">
                  <c:v>40.557939914163093</c:v>
                </c:pt>
                <c:pt idx="35">
                  <c:v>60.643660333462584</c:v>
                </c:pt>
                <c:pt idx="36">
                  <c:v>80.892103676913806</c:v>
                </c:pt>
                <c:pt idx="37">
                  <c:v>37.185413456599896</c:v>
                </c:pt>
                <c:pt idx="38">
                  <c:v>39.089848308051344</c:v>
                </c:pt>
                <c:pt idx="39">
                  <c:v>39.518413597733712</c:v>
                </c:pt>
                <c:pt idx="40">
                  <c:v>34.831460674157306</c:v>
                </c:pt>
                <c:pt idx="41">
                  <c:v>30.410447761194028</c:v>
                </c:pt>
                <c:pt idx="42">
                  <c:v>33.382954968366207</c:v>
                </c:pt>
                <c:pt idx="43">
                  <c:v>33.17717206132879</c:v>
                </c:pt>
                <c:pt idx="44">
                  <c:v>66.638690725975664</c:v>
                </c:pt>
                <c:pt idx="45">
                  <c:v>76.323676323676324</c:v>
                </c:pt>
                <c:pt idx="46">
                  <c:v>63.553530751708429</c:v>
                </c:pt>
                <c:pt idx="47">
                  <c:v>38.345864661654133</c:v>
                </c:pt>
                <c:pt idx="48">
                  <c:v>46.447028423772608</c:v>
                </c:pt>
                <c:pt idx="49">
                  <c:v>54.770477047704773</c:v>
                </c:pt>
                <c:pt idx="50">
                  <c:v>39.671610169491522</c:v>
                </c:pt>
                <c:pt idx="51">
                  <c:v>36.756756756756758</c:v>
                </c:pt>
                <c:pt idx="52">
                  <c:v>41.573033707865171</c:v>
                </c:pt>
                <c:pt idx="53">
                  <c:v>77.949709864603477</c:v>
                </c:pt>
                <c:pt idx="54">
                  <c:v>33.753581661891118</c:v>
                </c:pt>
                <c:pt idx="55">
                  <c:v>33.72333103922918</c:v>
                </c:pt>
                <c:pt idx="56">
                  <c:v>42.37967914438503</c:v>
                </c:pt>
                <c:pt idx="57">
                  <c:v>34.80704383664294</c:v>
                </c:pt>
                <c:pt idx="58">
                  <c:v>27.331189710610932</c:v>
                </c:pt>
                <c:pt idx="59">
                  <c:v>40.369496855345915</c:v>
                </c:pt>
                <c:pt idx="60">
                  <c:v>36.407185628742518</c:v>
                </c:pt>
                <c:pt idx="61">
                  <c:v>43.839238498149129</c:v>
                </c:pt>
                <c:pt idx="62">
                  <c:v>26.411290322580644</c:v>
                </c:pt>
                <c:pt idx="63">
                  <c:v>26.433121019108281</c:v>
                </c:pt>
                <c:pt idx="64">
                  <c:v>29.407760381211709</c:v>
                </c:pt>
                <c:pt idx="65">
                  <c:v>56.201248049922</c:v>
                </c:pt>
                <c:pt idx="66">
                  <c:v>64.838255977496488</c:v>
                </c:pt>
                <c:pt idx="67">
                  <c:v>51.035502958579883</c:v>
                </c:pt>
                <c:pt idx="68">
                  <c:v>44.304522037779051</c:v>
                </c:pt>
                <c:pt idx="69">
                  <c:v>52.071316203460931</c:v>
                </c:pt>
                <c:pt idx="70">
                  <c:v>34.757118927973202</c:v>
                </c:pt>
                <c:pt idx="71">
                  <c:v>40.566873339238263</c:v>
                </c:pt>
                <c:pt idx="72">
                  <c:v>38.851802403204275</c:v>
                </c:pt>
                <c:pt idx="73">
                  <c:v>20.387305002689619</c:v>
                </c:pt>
                <c:pt idx="74">
                  <c:v>33.460076045627375</c:v>
                </c:pt>
                <c:pt idx="75">
                  <c:v>48.615384615384613</c:v>
                </c:pt>
                <c:pt idx="76">
                  <c:v>53.680078508341509</c:v>
                </c:pt>
                <c:pt idx="77">
                  <c:v>64.369747899159663</c:v>
                </c:pt>
                <c:pt idx="78">
                  <c:v>48.849441157133462</c:v>
                </c:pt>
                <c:pt idx="79">
                  <c:v>40.281690140845072</c:v>
                </c:pt>
                <c:pt idx="80">
                  <c:v>50.819672131147541</c:v>
                </c:pt>
                <c:pt idx="81">
                  <c:v>39.598662207357862</c:v>
                </c:pt>
                <c:pt idx="82">
                  <c:v>50.497787610619469</c:v>
                </c:pt>
                <c:pt idx="83">
                  <c:v>44.284294234592444</c:v>
                </c:pt>
                <c:pt idx="84">
                  <c:v>40.035693039857229</c:v>
                </c:pt>
                <c:pt idx="85">
                  <c:v>39.169139465875368</c:v>
                </c:pt>
                <c:pt idx="86">
                  <c:v>44.34270765206017</c:v>
                </c:pt>
                <c:pt idx="87">
                  <c:v>34.888888888888886</c:v>
                </c:pt>
                <c:pt idx="88">
                  <c:v>36.497890295358651</c:v>
                </c:pt>
                <c:pt idx="89">
                  <c:v>42.791645440652061</c:v>
                </c:pt>
                <c:pt idx="90">
                  <c:v>48.685594111461619</c:v>
                </c:pt>
                <c:pt idx="91">
                  <c:v>50.516089860352153</c:v>
                </c:pt>
                <c:pt idx="92">
                  <c:v>53.875379939209729</c:v>
                </c:pt>
                <c:pt idx="93">
                  <c:v>63.985148514851488</c:v>
                </c:pt>
                <c:pt idx="94">
                  <c:v>65.171137835337646</c:v>
                </c:pt>
                <c:pt idx="95">
                  <c:v>49.1869918699187</c:v>
                </c:pt>
                <c:pt idx="96">
                  <c:v>53.274139844617089</c:v>
                </c:pt>
                <c:pt idx="97">
                  <c:v>47.549224968579807</c:v>
                </c:pt>
                <c:pt idx="98">
                  <c:v>52.247557003257327</c:v>
                </c:pt>
                <c:pt idx="99">
                  <c:v>31.077504725897921</c:v>
                </c:pt>
                <c:pt idx="100">
                  <c:v>34.410181106216349</c:v>
                </c:pt>
                <c:pt idx="101">
                  <c:v>58.090452261306531</c:v>
                </c:pt>
                <c:pt idx="102">
                  <c:v>54.251012145748987</c:v>
                </c:pt>
                <c:pt idx="103">
                  <c:v>100</c:v>
                </c:pt>
                <c:pt idx="104">
                  <c:v>96.385542168674704</c:v>
                </c:pt>
                <c:pt idx="105">
                  <c:v>44.696539988655701</c:v>
                </c:pt>
                <c:pt idx="106">
                  <c:v>34.995296331138285</c:v>
                </c:pt>
                <c:pt idx="107">
                  <c:v>35.362694300518136</c:v>
                </c:pt>
                <c:pt idx="108">
                  <c:v>39.04</c:v>
                </c:pt>
                <c:pt idx="109">
                  <c:v>35.573122529644266</c:v>
                </c:pt>
                <c:pt idx="110">
                  <c:v>44.124423963133637</c:v>
                </c:pt>
                <c:pt idx="111">
                  <c:v>38.940448569218873</c:v>
                </c:pt>
                <c:pt idx="112">
                  <c:v>38.696701528559935</c:v>
                </c:pt>
                <c:pt idx="113">
                  <c:v>40.17918676774638</c:v>
                </c:pt>
                <c:pt idx="114">
                  <c:v>36.726039016115351</c:v>
                </c:pt>
                <c:pt idx="115">
                  <c:v>34.266958424507656</c:v>
                </c:pt>
                <c:pt idx="116">
                  <c:v>44.636471990464841</c:v>
                </c:pt>
                <c:pt idx="117">
                  <c:v>34.172839506172842</c:v>
                </c:pt>
                <c:pt idx="118">
                  <c:v>0</c:v>
                </c:pt>
                <c:pt idx="119">
                  <c:v>38.02469135802469</c:v>
                </c:pt>
                <c:pt idx="120">
                  <c:v>31.100045269352648</c:v>
                </c:pt>
                <c:pt idx="121">
                  <c:v>52.017167381974247</c:v>
                </c:pt>
                <c:pt idx="122">
                  <c:v>34.624937903626432</c:v>
                </c:pt>
                <c:pt idx="123">
                  <c:v>35.096391497775578</c:v>
                </c:pt>
                <c:pt idx="124">
                  <c:v>42.913385826771652</c:v>
                </c:pt>
                <c:pt idx="125">
                  <c:v>39.681637293916999</c:v>
                </c:pt>
                <c:pt idx="126">
                  <c:v>35.935455734845178</c:v>
                </c:pt>
                <c:pt idx="127">
                  <c:v>33.134191176470587</c:v>
                </c:pt>
                <c:pt idx="128">
                  <c:v>35.535535535535537</c:v>
                </c:pt>
                <c:pt idx="129">
                  <c:v>41.009946442234124</c:v>
                </c:pt>
                <c:pt idx="130">
                  <c:v>70.199587061252586</c:v>
                </c:pt>
                <c:pt idx="131">
                  <c:v>31.644736842105264</c:v>
                </c:pt>
                <c:pt idx="132">
                  <c:v>33.720930232558139</c:v>
                </c:pt>
                <c:pt idx="133">
                  <c:v>33.635729239357993</c:v>
                </c:pt>
                <c:pt idx="134">
                  <c:v>28.324324324324323</c:v>
                </c:pt>
                <c:pt idx="135">
                  <c:v>41.544291804831836</c:v>
                </c:pt>
                <c:pt idx="136">
                  <c:v>54.589371980676326</c:v>
                </c:pt>
                <c:pt idx="137">
                  <c:v>50.391644908616186</c:v>
                </c:pt>
                <c:pt idx="138">
                  <c:v>35.37117903930131</c:v>
                </c:pt>
                <c:pt idx="139">
                  <c:v>32.978251220594764</c:v>
                </c:pt>
                <c:pt idx="140">
                  <c:v>69.944444444444443</c:v>
                </c:pt>
                <c:pt idx="141">
                  <c:v>31.868640148011099</c:v>
                </c:pt>
                <c:pt idx="142">
                  <c:v>39.067055393586003</c:v>
                </c:pt>
                <c:pt idx="143">
                  <c:v>35.988620199146517</c:v>
                </c:pt>
                <c:pt idx="144">
                  <c:v>29.496402877697843</c:v>
                </c:pt>
                <c:pt idx="145">
                  <c:v>36.228482003129891</c:v>
                </c:pt>
                <c:pt idx="146">
                  <c:v>32.619775739041792</c:v>
                </c:pt>
                <c:pt idx="147">
                  <c:v>32.914704343275773</c:v>
                </c:pt>
                <c:pt idx="148">
                  <c:v>36.454703832752614</c:v>
                </c:pt>
                <c:pt idx="149">
                  <c:v>38.655077767612077</c:v>
                </c:pt>
                <c:pt idx="150">
                  <c:v>26.343679031037095</c:v>
                </c:pt>
                <c:pt idx="151">
                  <c:v>27.943661971830984</c:v>
                </c:pt>
                <c:pt idx="152">
                  <c:v>30.517423442449843</c:v>
                </c:pt>
                <c:pt idx="153">
                  <c:v>24.29951690821256</c:v>
                </c:pt>
                <c:pt idx="154">
                  <c:v>25.819672131147541</c:v>
                </c:pt>
                <c:pt idx="155">
                  <c:v>21.834574676597413</c:v>
                </c:pt>
                <c:pt idx="156">
                  <c:v>30.424366872005475</c:v>
                </c:pt>
                <c:pt idx="157">
                  <c:v>53.324468085106382</c:v>
                </c:pt>
                <c:pt idx="158">
                  <c:v>50.189155107187894</c:v>
                </c:pt>
                <c:pt idx="159">
                  <c:v>31.138070479491624</c:v>
                </c:pt>
                <c:pt idx="160">
                  <c:v>44.290976058931861</c:v>
                </c:pt>
                <c:pt idx="161">
                  <c:v>25.94183740912095</c:v>
                </c:pt>
                <c:pt idx="162">
                  <c:v>21.28082736674622</c:v>
                </c:pt>
                <c:pt idx="163">
                  <c:v>25.129982668977469</c:v>
                </c:pt>
                <c:pt idx="164">
                  <c:v>25.090415913200722</c:v>
                </c:pt>
                <c:pt idx="165">
                  <c:v>25.754443985117817</c:v>
                </c:pt>
                <c:pt idx="166">
                  <c:v>23.076923076923077</c:v>
                </c:pt>
                <c:pt idx="167">
                  <c:v>21.449766850360323</c:v>
                </c:pt>
                <c:pt idx="168">
                  <c:v>24.780256930358352</c:v>
                </c:pt>
                <c:pt idx="169">
                  <c:v>17.890520694259013</c:v>
                </c:pt>
                <c:pt idx="170">
                  <c:v>21.104018024784079</c:v>
                </c:pt>
                <c:pt idx="171">
                  <c:v>40.642129992169146</c:v>
                </c:pt>
                <c:pt idx="172">
                  <c:v>33.180987202925046</c:v>
                </c:pt>
                <c:pt idx="173">
                  <c:v>30.762987012987011</c:v>
                </c:pt>
                <c:pt idx="174">
                  <c:v>35.679374389051809</c:v>
                </c:pt>
                <c:pt idx="175">
                  <c:v>37.286135693215343</c:v>
                </c:pt>
                <c:pt idx="176">
                  <c:v>47.942754919499109</c:v>
                </c:pt>
                <c:pt idx="177">
                  <c:v>62.786745964316054</c:v>
                </c:pt>
                <c:pt idx="178">
                  <c:v>31.561461794019934</c:v>
                </c:pt>
                <c:pt idx="179">
                  <c:v>40.958268933539415</c:v>
                </c:pt>
                <c:pt idx="180">
                  <c:v>42.378048780487802</c:v>
                </c:pt>
                <c:pt idx="181">
                  <c:v>23.970037453183522</c:v>
                </c:pt>
              </c:numCache>
            </c:numRef>
          </c:xVal>
          <c:yVal>
            <c:numRef>
              <c:f>'Мособлдума партии'!$AH$2:$AH$183</c:f>
              <c:numCache>
                <c:formatCode>0.0</c:formatCode>
                <c:ptCount val="182"/>
                <c:pt idx="0">
                  <c:v>5.73208722741433</c:v>
                </c:pt>
                <c:pt idx="1">
                  <c:v>4.497907949790795</c:v>
                </c:pt>
                <c:pt idx="2">
                  <c:v>2.0183486238532109</c:v>
                </c:pt>
                <c:pt idx="3">
                  <c:v>1.8166089965397925</c:v>
                </c:pt>
                <c:pt idx="4">
                  <c:v>6.4130434782608692</c:v>
                </c:pt>
                <c:pt idx="5">
                  <c:v>4.902962206332993</c:v>
                </c:pt>
                <c:pt idx="6">
                  <c:v>1.8803418803418803</c:v>
                </c:pt>
                <c:pt idx="7">
                  <c:v>2.904238618524333</c:v>
                </c:pt>
                <c:pt idx="8">
                  <c:v>3.0612244897959182</c:v>
                </c:pt>
                <c:pt idx="9">
                  <c:v>5.6019070321811677</c:v>
                </c:pt>
                <c:pt idx="10">
                  <c:v>2.640845070422535</c:v>
                </c:pt>
                <c:pt idx="11">
                  <c:v>2.816901408450704</c:v>
                </c:pt>
                <c:pt idx="12">
                  <c:v>5.6838365896980463</c:v>
                </c:pt>
                <c:pt idx="13">
                  <c:v>3.9806996381182147</c:v>
                </c:pt>
                <c:pt idx="14">
                  <c:v>4.5936395759717312</c:v>
                </c:pt>
                <c:pt idx="15">
                  <c:v>4.9657534246575343</c:v>
                </c:pt>
                <c:pt idx="16">
                  <c:v>5.8479532163742691</c:v>
                </c:pt>
                <c:pt idx="17">
                  <c:v>5.1813471502590671</c:v>
                </c:pt>
                <c:pt idx="18">
                  <c:v>3.3653846153846154</c:v>
                </c:pt>
                <c:pt idx="19">
                  <c:v>3.2057911065149947</c:v>
                </c:pt>
                <c:pt idx="20">
                  <c:v>4.5558086560364464</c:v>
                </c:pt>
                <c:pt idx="21">
                  <c:v>3.1893004115226335</c:v>
                </c:pt>
                <c:pt idx="22">
                  <c:v>5.0445103857566762</c:v>
                </c:pt>
                <c:pt idx="23">
                  <c:v>6.6050198150594452</c:v>
                </c:pt>
                <c:pt idx="24">
                  <c:v>5.982905982905983</c:v>
                </c:pt>
                <c:pt idx="25">
                  <c:v>7.3232323232323235</c:v>
                </c:pt>
                <c:pt idx="26">
                  <c:v>3.7077426390403492</c:v>
                </c:pt>
                <c:pt idx="27">
                  <c:v>7.2340425531914896</c:v>
                </c:pt>
                <c:pt idx="28">
                  <c:v>8.5195530726256976</c:v>
                </c:pt>
                <c:pt idx="29">
                  <c:v>5.9210526315789478</c:v>
                </c:pt>
                <c:pt idx="30">
                  <c:v>8.604651162790697</c:v>
                </c:pt>
                <c:pt idx="31">
                  <c:v>6.0150375939849621</c:v>
                </c:pt>
                <c:pt idx="32">
                  <c:v>5.2953156822810588</c:v>
                </c:pt>
                <c:pt idx="33">
                  <c:v>5.0898203592814371</c:v>
                </c:pt>
                <c:pt idx="34">
                  <c:v>2.1164021164021163</c:v>
                </c:pt>
                <c:pt idx="35">
                  <c:v>5.1790281329923271</c:v>
                </c:pt>
                <c:pt idx="36">
                  <c:v>0.96870342771982121</c:v>
                </c:pt>
                <c:pt idx="37">
                  <c:v>3.4530386740331491</c:v>
                </c:pt>
                <c:pt idx="38">
                  <c:v>4.1791044776119399</c:v>
                </c:pt>
                <c:pt idx="39">
                  <c:v>5.2346570397111911</c:v>
                </c:pt>
                <c:pt idx="40">
                  <c:v>3.4632034632034632</c:v>
                </c:pt>
                <c:pt idx="41">
                  <c:v>4.294478527607362</c:v>
                </c:pt>
                <c:pt idx="42">
                  <c:v>8.3612040133779271</c:v>
                </c:pt>
                <c:pt idx="43">
                  <c:v>7.8305519897304237</c:v>
                </c:pt>
                <c:pt idx="44">
                  <c:v>1.5762925598991173</c:v>
                </c:pt>
                <c:pt idx="45">
                  <c:v>1.5706806282722514</c:v>
                </c:pt>
                <c:pt idx="46">
                  <c:v>10.75268817204301</c:v>
                </c:pt>
                <c:pt idx="47">
                  <c:v>9.477124183006536</c:v>
                </c:pt>
                <c:pt idx="48">
                  <c:v>7.5104311543810844</c:v>
                </c:pt>
                <c:pt idx="49">
                  <c:v>4.0935672514619883</c:v>
                </c:pt>
                <c:pt idx="50">
                  <c:v>6.4085447263017352</c:v>
                </c:pt>
                <c:pt idx="51">
                  <c:v>8.1699346405228752</c:v>
                </c:pt>
                <c:pt idx="52">
                  <c:v>6.6856330014224747</c:v>
                </c:pt>
                <c:pt idx="53">
                  <c:v>1.9851116625310175</c:v>
                </c:pt>
                <c:pt idx="54">
                  <c:v>7.3129251700680271</c:v>
                </c:pt>
                <c:pt idx="55">
                  <c:v>6.3265306122448983</c:v>
                </c:pt>
                <c:pt idx="56">
                  <c:v>4.2586750788643535</c:v>
                </c:pt>
                <c:pt idx="57">
                  <c:v>4.4133476856835303</c:v>
                </c:pt>
                <c:pt idx="58">
                  <c:v>3.1372549019607843</c:v>
                </c:pt>
                <c:pt idx="59">
                  <c:v>5.8422590068159685</c:v>
                </c:pt>
                <c:pt idx="60">
                  <c:v>4.9504950495049505</c:v>
                </c:pt>
                <c:pt idx="61">
                  <c:v>2.1712907117008444</c:v>
                </c:pt>
                <c:pt idx="62">
                  <c:v>4.9618320610687023</c:v>
                </c:pt>
                <c:pt idx="63">
                  <c:v>6.6265060240963853</c:v>
                </c:pt>
                <c:pt idx="64">
                  <c:v>6.9444444444444446</c:v>
                </c:pt>
                <c:pt idx="65">
                  <c:v>4.0249826509368498</c:v>
                </c:pt>
                <c:pt idx="66">
                  <c:v>6.9414316702819958</c:v>
                </c:pt>
                <c:pt idx="67">
                  <c:v>5.2173913043478262</c:v>
                </c:pt>
                <c:pt idx="68">
                  <c:v>6.3307493540051683</c:v>
                </c:pt>
                <c:pt idx="69">
                  <c:v>5.8408862034239677</c:v>
                </c:pt>
                <c:pt idx="70">
                  <c:v>4.5783132530120483</c:v>
                </c:pt>
                <c:pt idx="71">
                  <c:v>6.783369803063457</c:v>
                </c:pt>
                <c:pt idx="72">
                  <c:v>5.5555555555555554</c:v>
                </c:pt>
                <c:pt idx="73">
                  <c:v>5.2770448548812663</c:v>
                </c:pt>
                <c:pt idx="74">
                  <c:v>6.3926940639269407</c:v>
                </c:pt>
                <c:pt idx="75">
                  <c:v>2.2151898734177213</c:v>
                </c:pt>
                <c:pt idx="76">
                  <c:v>5.1329055912007329</c:v>
                </c:pt>
                <c:pt idx="77">
                  <c:v>5.0243111831442464</c:v>
                </c:pt>
                <c:pt idx="78">
                  <c:v>6.594885598923284</c:v>
                </c:pt>
                <c:pt idx="79">
                  <c:v>6.6433566433566433</c:v>
                </c:pt>
                <c:pt idx="80">
                  <c:v>7.096774193548387</c:v>
                </c:pt>
                <c:pt idx="81">
                  <c:v>7.9391891891891895</c:v>
                </c:pt>
                <c:pt idx="82">
                  <c:v>5.6955093099671412</c:v>
                </c:pt>
                <c:pt idx="83">
                  <c:v>8.7542087542087543</c:v>
                </c:pt>
                <c:pt idx="84">
                  <c:v>5.7949479940564634</c:v>
                </c:pt>
                <c:pt idx="85">
                  <c:v>7.5757575757575761</c:v>
                </c:pt>
                <c:pt idx="86">
                  <c:v>5.4572271386430682</c:v>
                </c:pt>
                <c:pt idx="87">
                  <c:v>5.2547770700636942</c:v>
                </c:pt>
                <c:pt idx="88">
                  <c:v>5.5813953488372094</c:v>
                </c:pt>
                <c:pt idx="89">
                  <c:v>5.9523809523809526</c:v>
                </c:pt>
                <c:pt idx="90">
                  <c:v>3.8876889848812093</c:v>
                </c:pt>
                <c:pt idx="91">
                  <c:v>5.0480769230769234</c:v>
                </c:pt>
                <c:pt idx="92">
                  <c:v>3.6671368124118477</c:v>
                </c:pt>
                <c:pt idx="93">
                  <c:v>2.6434558349451964</c:v>
                </c:pt>
                <c:pt idx="94">
                  <c:v>1.9914651493598863</c:v>
                </c:pt>
                <c:pt idx="95">
                  <c:v>7.2727272727272725</c:v>
                </c:pt>
                <c:pt idx="96">
                  <c:v>0.41666666666666669</c:v>
                </c:pt>
                <c:pt idx="97">
                  <c:v>4.8458149779735686</c:v>
                </c:pt>
                <c:pt idx="98">
                  <c:v>3.6159600997506236</c:v>
                </c:pt>
                <c:pt idx="99">
                  <c:v>7.0559610705596105</c:v>
                </c:pt>
                <c:pt idx="100">
                  <c:v>5.5476529160739689</c:v>
                </c:pt>
                <c:pt idx="101">
                  <c:v>4.7826086956521738</c:v>
                </c:pt>
                <c:pt idx="102">
                  <c:v>2.4482109227871938</c:v>
                </c:pt>
                <c:pt idx="103">
                  <c:v>1.5151515151515151</c:v>
                </c:pt>
                <c:pt idx="104">
                  <c:v>10</c:v>
                </c:pt>
                <c:pt idx="105">
                  <c:v>6.8527918781725887</c:v>
                </c:pt>
                <c:pt idx="106">
                  <c:v>5.376344086021505</c:v>
                </c:pt>
                <c:pt idx="107">
                  <c:v>5.2503052503052503</c:v>
                </c:pt>
                <c:pt idx="108">
                  <c:v>6.0165975103734439</c:v>
                </c:pt>
                <c:pt idx="109">
                  <c:v>5.1111111111111107</c:v>
                </c:pt>
                <c:pt idx="110">
                  <c:v>4.0595399188092021</c:v>
                </c:pt>
                <c:pt idx="111">
                  <c:v>5.8577405857740583</c:v>
                </c:pt>
                <c:pt idx="112">
                  <c:v>4.791666666666667</c:v>
                </c:pt>
                <c:pt idx="113">
                  <c:v>2.7444253859348198</c:v>
                </c:pt>
                <c:pt idx="114">
                  <c:v>6.0324825986078885</c:v>
                </c:pt>
                <c:pt idx="115">
                  <c:v>6.9230769230769234</c:v>
                </c:pt>
                <c:pt idx="116">
                  <c:v>2.2788203753351208</c:v>
                </c:pt>
                <c:pt idx="117">
                  <c:v>4.1907514450867049</c:v>
                </c:pt>
                <c:pt idx="118">
                  <c:v>0</c:v>
                </c:pt>
                <c:pt idx="119">
                  <c:v>4.9837486457204765</c:v>
                </c:pt>
                <c:pt idx="120">
                  <c:v>5.5312954876273652</c:v>
                </c:pt>
                <c:pt idx="121">
                  <c:v>5.3630363036303628</c:v>
                </c:pt>
                <c:pt idx="122">
                  <c:v>4.954954954954955</c:v>
                </c:pt>
                <c:pt idx="123">
                  <c:v>6.5248226950354606</c:v>
                </c:pt>
                <c:pt idx="124">
                  <c:v>4.4136191677175285</c:v>
                </c:pt>
                <c:pt idx="125">
                  <c:v>5.882352941176471</c:v>
                </c:pt>
                <c:pt idx="126">
                  <c:v>7.4029126213592233</c:v>
                </c:pt>
                <c:pt idx="127">
                  <c:v>6.6574202496532591</c:v>
                </c:pt>
                <c:pt idx="128">
                  <c:v>5.915492957746479</c:v>
                </c:pt>
                <c:pt idx="129">
                  <c:v>8.0223880597014929</c:v>
                </c:pt>
                <c:pt idx="130">
                  <c:v>6.3106796116504853</c:v>
                </c:pt>
                <c:pt idx="131">
                  <c:v>4.1580041580041582</c:v>
                </c:pt>
                <c:pt idx="132">
                  <c:v>6.0851926977687629</c:v>
                </c:pt>
                <c:pt idx="133">
                  <c:v>6.4315352697095438</c:v>
                </c:pt>
                <c:pt idx="134">
                  <c:v>2.8625954198473282</c:v>
                </c:pt>
                <c:pt idx="135">
                  <c:v>4.2189281641961234</c:v>
                </c:pt>
                <c:pt idx="136">
                  <c:v>3.7168141592920354</c:v>
                </c:pt>
                <c:pt idx="137">
                  <c:v>2.800829875518672</c:v>
                </c:pt>
                <c:pt idx="138">
                  <c:v>3.8961038961038961</c:v>
                </c:pt>
                <c:pt idx="139">
                  <c:v>6.3257065948855988</c:v>
                </c:pt>
                <c:pt idx="140">
                  <c:v>0.15885623510722796</c:v>
                </c:pt>
                <c:pt idx="141">
                  <c:v>4.6444121915820027</c:v>
                </c:pt>
                <c:pt idx="142">
                  <c:v>5.2963430012610342</c:v>
                </c:pt>
                <c:pt idx="143">
                  <c:v>5.1675977653631282</c:v>
                </c:pt>
                <c:pt idx="144">
                  <c:v>7.8590785907859075</c:v>
                </c:pt>
                <c:pt idx="145">
                  <c:v>5.3995680345572357</c:v>
                </c:pt>
                <c:pt idx="146">
                  <c:v>5</c:v>
                </c:pt>
                <c:pt idx="147">
                  <c:v>5.0874403815580287</c:v>
                </c:pt>
                <c:pt idx="148">
                  <c:v>6.4748201438848918</c:v>
                </c:pt>
                <c:pt idx="149">
                  <c:v>4.62085308056872</c:v>
                </c:pt>
                <c:pt idx="150">
                  <c:v>5.4597701149425291</c:v>
                </c:pt>
                <c:pt idx="151">
                  <c:v>2.8225806451612905</c:v>
                </c:pt>
                <c:pt idx="152">
                  <c:v>2.5951557093425603</c:v>
                </c:pt>
                <c:pt idx="153">
                  <c:v>4.9701789264413518</c:v>
                </c:pt>
                <c:pt idx="154">
                  <c:v>4.4091710758377429</c:v>
                </c:pt>
                <c:pt idx="155">
                  <c:v>3.4111310592459607</c:v>
                </c:pt>
                <c:pt idx="156">
                  <c:v>2.8121484814398201</c:v>
                </c:pt>
                <c:pt idx="157">
                  <c:v>1.7543859649122806</c:v>
                </c:pt>
                <c:pt idx="158">
                  <c:v>4.166666666666667</c:v>
                </c:pt>
                <c:pt idx="159">
                  <c:v>7.7067669172932334</c:v>
                </c:pt>
                <c:pt idx="160">
                  <c:v>1.6632016632016633</c:v>
                </c:pt>
                <c:pt idx="161">
                  <c:v>2.426564495530013</c:v>
                </c:pt>
                <c:pt idx="162">
                  <c:v>2.4299065420560746</c:v>
                </c:pt>
                <c:pt idx="163">
                  <c:v>2.245250431778929</c:v>
                </c:pt>
                <c:pt idx="164">
                  <c:v>2.5225225225225225</c:v>
                </c:pt>
                <c:pt idx="165">
                  <c:v>2.5682182985553772</c:v>
                </c:pt>
                <c:pt idx="166">
                  <c:v>3.0549898167006111</c:v>
                </c:pt>
                <c:pt idx="167">
                  <c:v>3.5785288270377733</c:v>
                </c:pt>
                <c:pt idx="168">
                  <c:v>4.0927694406548429</c:v>
                </c:pt>
                <c:pt idx="169">
                  <c:v>2.34375</c:v>
                </c:pt>
                <c:pt idx="170">
                  <c:v>2.8469750889679717</c:v>
                </c:pt>
                <c:pt idx="171">
                  <c:v>7.7071290944123314</c:v>
                </c:pt>
                <c:pt idx="172">
                  <c:v>1.3774104683195592</c:v>
                </c:pt>
                <c:pt idx="173">
                  <c:v>5.5408970976253302</c:v>
                </c:pt>
                <c:pt idx="174">
                  <c:v>3.0136986301369864</c:v>
                </c:pt>
                <c:pt idx="175">
                  <c:v>5.3191489361702127</c:v>
                </c:pt>
                <c:pt idx="176">
                  <c:v>4.7263681592039797</c:v>
                </c:pt>
                <c:pt idx="177">
                  <c:v>2.0974289580514207</c:v>
                </c:pt>
                <c:pt idx="178">
                  <c:v>3.8596491228070176</c:v>
                </c:pt>
                <c:pt idx="179">
                  <c:v>7.7358490566037732</c:v>
                </c:pt>
                <c:pt idx="180">
                  <c:v>5.6115107913669062</c:v>
                </c:pt>
                <c:pt idx="181">
                  <c:v>3.125</c:v>
                </c:pt>
              </c:numCache>
            </c:numRef>
          </c:yVal>
          <c:bubbleSize>
            <c:numRef>
              <c:f>'Мособлдума партии'!$J$2:$J$183</c:f>
              <c:numCache>
                <c:formatCode>General</c:formatCode>
                <c:ptCount val="182"/>
                <c:pt idx="0">
                  <c:v>2451</c:v>
                </c:pt>
                <c:pt idx="1">
                  <c:v>1792</c:v>
                </c:pt>
                <c:pt idx="2">
                  <c:v>1987</c:v>
                </c:pt>
                <c:pt idx="3">
                  <c:v>2122</c:v>
                </c:pt>
                <c:pt idx="4">
                  <c:v>1909</c:v>
                </c:pt>
                <c:pt idx="5">
                  <c:v>1948</c:v>
                </c:pt>
                <c:pt idx="6">
                  <c:v>1966</c:v>
                </c:pt>
                <c:pt idx="7">
                  <c:v>1755</c:v>
                </c:pt>
                <c:pt idx="8">
                  <c:v>2053</c:v>
                </c:pt>
                <c:pt idx="9">
                  <c:v>2353</c:v>
                </c:pt>
                <c:pt idx="10">
                  <c:v>2236</c:v>
                </c:pt>
                <c:pt idx="11">
                  <c:v>878</c:v>
                </c:pt>
                <c:pt idx="12">
                  <c:v>1109</c:v>
                </c:pt>
                <c:pt idx="13">
                  <c:v>2346</c:v>
                </c:pt>
                <c:pt idx="14">
                  <c:v>1222</c:v>
                </c:pt>
                <c:pt idx="15">
                  <c:v>1986</c:v>
                </c:pt>
                <c:pt idx="16">
                  <c:v>391</c:v>
                </c:pt>
                <c:pt idx="17">
                  <c:v>1248</c:v>
                </c:pt>
                <c:pt idx="18">
                  <c:v>1716</c:v>
                </c:pt>
                <c:pt idx="19">
                  <c:v>2695</c:v>
                </c:pt>
                <c:pt idx="20">
                  <c:v>1800</c:v>
                </c:pt>
                <c:pt idx="21">
                  <c:v>2108</c:v>
                </c:pt>
                <c:pt idx="22">
                  <c:v>2215</c:v>
                </c:pt>
                <c:pt idx="23">
                  <c:v>2112</c:v>
                </c:pt>
                <c:pt idx="24">
                  <c:v>2268</c:v>
                </c:pt>
                <c:pt idx="25">
                  <c:v>2112</c:v>
                </c:pt>
                <c:pt idx="26">
                  <c:v>2016</c:v>
                </c:pt>
                <c:pt idx="27">
                  <c:v>2330</c:v>
                </c:pt>
                <c:pt idx="28">
                  <c:v>1867</c:v>
                </c:pt>
                <c:pt idx="29">
                  <c:v>1777</c:v>
                </c:pt>
                <c:pt idx="30">
                  <c:v>1121</c:v>
                </c:pt>
                <c:pt idx="31">
                  <c:v>2249</c:v>
                </c:pt>
                <c:pt idx="32">
                  <c:v>1262</c:v>
                </c:pt>
                <c:pt idx="33">
                  <c:v>553</c:v>
                </c:pt>
                <c:pt idx="34">
                  <c:v>932</c:v>
                </c:pt>
                <c:pt idx="35">
                  <c:v>2579</c:v>
                </c:pt>
                <c:pt idx="36">
                  <c:v>1659</c:v>
                </c:pt>
                <c:pt idx="37">
                  <c:v>1947</c:v>
                </c:pt>
                <c:pt idx="38">
                  <c:v>857</c:v>
                </c:pt>
                <c:pt idx="39">
                  <c:v>1412</c:v>
                </c:pt>
                <c:pt idx="40">
                  <c:v>2047</c:v>
                </c:pt>
                <c:pt idx="41">
                  <c:v>536</c:v>
                </c:pt>
                <c:pt idx="42">
                  <c:v>2687</c:v>
                </c:pt>
                <c:pt idx="43">
                  <c:v>2348</c:v>
                </c:pt>
                <c:pt idx="44">
                  <c:v>2383</c:v>
                </c:pt>
                <c:pt idx="45">
                  <c:v>1001</c:v>
                </c:pt>
                <c:pt idx="46">
                  <c:v>439</c:v>
                </c:pt>
                <c:pt idx="47">
                  <c:v>1596</c:v>
                </c:pt>
                <c:pt idx="48">
                  <c:v>1548</c:v>
                </c:pt>
                <c:pt idx="49">
                  <c:v>2222</c:v>
                </c:pt>
                <c:pt idx="50">
                  <c:v>1888</c:v>
                </c:pt>
                <c:pt idx="51">
                  <c:v>1665</c:v>
                </c:pt>
                <c:pt idx="52">
                  <c:v>1691</c:v>
                </c:pt>
                <c:pt idx="53">
                  <c:v>517</c:v>
                </c:pt>
                <c:pt idx="54">
                  <c:v>1745</c:v>
                </c:pt>
                <c:pt idx="55">
                  <c:v>1453</c:v>
                </c:pt>
                <c:pt idx="56">
                  <c:v>1496</c:v>
                </c:pt>
                <c:pt idx="57">
                  <c:v>2669</c:v>
                </c:pt>
                <c:pt idx="58">
                  <c:v>2799</c:v>
                </c:pt>
                <c:pt idx="59">
                  <c:v>2544</c:v>
                </c:pt>
                <c:pt idx="60">
                  <c:v>1670</c:v>
                </c:pt>
                <c:pt idx="61">
                  <c:v>1891</c:v>
                </c:pt>
                <c:pt idx="62">
                  <c:v>1984</c:v>
                </c:pt>
                <c:pt idx="63">
                  <c:v>628</c:v>
                </c:pt>
                <c:pt idx="64">
                  <c:v>1469</c:v>
                </c:pt>
                <c:pt idx="65">
                  <c:v>2564</c:v>
                </c:pt>
                <c:pt idx="66">
                  <c:v>711</c:v>
                </c:pt>
                <c:pt idx="67">
                  <c:v>676</c:v>
                </c:pt>
                <c:pt idx="68">
                  <c:v>1747</c:v>
                </c:pt>
                <c:pt idx="69">
                  <c:v>1907</c:v>
                </c:pt>
                <c:pt idx="70">
                  <c:v>1194</c:v>
                </c:pt>
                <c:pt idx="71">
                  <c:v>1129</c:v>
                </c:pt>
                <c:pt idx="72">
                  <c:v>1498</c:v>
                </c:pt>
                <c:pt idx="73">
                  <c:v>1859</c:v>
                </c:pt>
                <c:pt idx="74">
                  <c:v>1315</c:v>
                </c:pt>
                <c:pt idx="75">
                  <c:v>1300</c:v>
                </c:pt>
                <c:pt idx="76">
                  <c:v>2038</c:v>
                </c:pt>
                <c:pt idx="77">
                  <c:v>1190</c:v>
                </c:pt>
                <c:pt idx="78">
                  <c:v>1521</c:v>
                </c:pt>
                <c:pt idx="79">
                  <c:v>710</c:v>
                </c:pt>
                <c:pt idx="80">
                  <c:v>1525</c:v>
                </c:pt>
                <c:pt idx="81">
                  <c:v>1495</c:v>
                </c:pt>
                <c:pt idx="82">
                  <c:v>1808</c:v>
                </c:pt>
                <c:pt idx="83">
                  <c:v>2012</c:v>
                </c:pt>
                <c:pt idx="84">
                  <c:v>1681</c:v>
                </c:pt>
                <c:pt idx="85">
                  <c:v>1685</c:v>
                </c:pt>
                <c:pt idx="86">
                  <c:v>1529</c:v>
                </c:pt>
                <c:pt idx="87">
                  <c:v>1800</c:v>
                </c:pt>
                <c:pt idx="88">
                  <c:v>1896</c:v>
                </c:pt>
                <c:pt idx="89">
                  <c:v>1963</c:v>
                </c:pt>
                <c:pt idx="90">
                  <c:v>1902</c:v>
                </c:pt>
                <c:pt idx="91">
                  <c:v>1647</c:v>
                </c:pt>
                <c:pt idx="92">
                  <c:v>1316</c:v>
                </c:pt>
                <c:pt idx="93">
                  <c:v>2424</c:v>
                </c:pt>
                <c:pt idx="94">
                  <c:v>2162</c:v>
                </c:pt>
                <c:pt idx="95">
                  <c:v>1230</c:v>
                </c:pt>
                <c:pt idx="96">
                  <c:v>901</c:v>
                </c:pt>
                <c:pt idx="97">
                  <c:v>2387</c:v>
                </c:pt>
                <c:pt idx="98">
                  <c:v>1535</c:v>
                </c:pt>
                <c:pt idx="99">
                  <c:v>2645</c:v>
                </c:pt>
                <c:pt idx="100">
                  <c:v>2043</c:v>
                </c:pt>
                <c:pt idx="101">
                  <c:v>1990</c:v>
                </c:pt>
                <c:pt idx="102">
                  <c:v>988</c:v>
                </c:pt>
                <c:pt idx="103">
                  <c:v>132</c:v>
                </c:pt>
                <c:pt idx="104">
                  <c:v>83</c:v>
                </c:pt>
                <c:pt idx="105">
                  <c:v>1763</c:v>
                </c:pt>
                <c:pt idx="106">
                  <c:v>1063</c:v>
                </c:pt>
                <c:pt idx="107">
                  <c:v>2316</c:v>
                </c:pt>
                <c:pt idx="108">
                  <c:v>1250</c:v>
                </c:pt>
                <c:pt idx="109">
                  <c:v>1265</c:v>
                </c:pt>
                <c:pt idx="110">
                  <c:v>1736</c:v>
                </c:pt>
                <c:pt idx="111">
                  <c:v>2586</c:v>
                </c:pt>
                <c:pt idx="112">
                  <c:v>1243</c:v>
                </c:pt>
                <c:pt idx="113">
                  <c:v>1451</c:v>
                </c:pt>
                <c:pt idx="114">
                  <c:v>1179</c:v>
                </c:pt>
                <c:pt idx="115">
                  <c:v>2285</c:v>
                </c:pt>
                <c:pt idx="116">
                  <c:v>1678</c:v>
                </c:pt>
                <c:pt idx="117">
                  <c:v>2025</c:v>
                </c:pt>
                <c:pt idx="118">
                  <c:v>0</c:v>
                </c:pt>
                <c:pt idx="119">
                  <c:v>2430</c:v>
                </c:pt>
                <c:pt idx="120">
                  <c:v>2209</c:v>
                </c:pt>
                <c:pt idx="121">
                  <c:v>2330</c:v>
                </c:pt>
                <c:pt idx="122">
                  <c:v>2013</c:v>
                </c:pt>
                <c:pt idx="123">
                  <c:v>2023</c:v>
                </c:pt>
                <c:pt idx="124">
                  <c:v>2032</c:v>
                </c:pt>
                <c:pt idx="125">
                  <c:v>1759</c:v>
                </c:pt>
                <c:pt idx="126">
                  <c:v>2293</c:v>
                </c:pt>
                <c:pt idx="127">
                  <c:v>2176</c:v>
                </c:pt>
                <c:pt idx="128">
                  <c:v>1998</c:v>
                </c:pt>
                <c:pt idx="129">
                  <c:v>1307</c:v>
                </c:pt>
                <c:pt idx="130">
                  <c:v>1453</c:v>
                </c:pt>
                <c:pt idx="131">
                  <c:v>1520</c:v>
                </c:pt>
                <c:pt idx="132">
                  <c:v>1462</c:v>
                </c:pt>
                <c:pt idx="133">
                  <c:v>1433</c:v>
                </c:pt>
                <c:pt idx="134">
                  <c:v>1850</c:v>
                </c:pt>
                <c:pt idx="135">
                  <c:v>2111</c:v>
                </c:pt>
                <c:pt idx="136">
                  <c:v>1035</c:v>
                </c:pt>
                <c:pt idx="137">
                  <c:v>1915</c:v>
                </c:pt>
                <c:pt idx="138">
                  <c:v>2290</c:v>
                </c:pt>
                <c:pt idx="139">
                  <c:v>2253</c:v>
                </c:pt>
                <c:pt idx="140">
                  <c:v>1800</c:v>
                </c:pt>
                <c:pt idx="141">
                  <c:v>2162</c:v>
                </c:pt>
                <c:pt idx="142">
                  <c:v>2058</c:v>
                </c:pt>
                <c:pt idx="143">
                  <c:v>2109</c:v>
                </c:pt>
                <c:pt idx="144">
                  <c:v>1251</c:v>
                </c:pt>
                <c:pt idx="145">
                  <c:v>1278</c:v>
                </c:pt>
                <c:pt idx="146">
                  <c:v>981</c:v>
                </c:pt>
                <c:pt idx="147">
                  <c:v>1911</c:v>
                </c:pt>
                <c:pt idx="148">
                  <c:v>2296</c:v>
                </c:pt>
                <c:pt idx="149">
                  <c:v>2186</c:v>
                </c:pt>
                <c:pt idx="150">
                  <c:v>2642</c:v>
                </c:pt>
                <c:pt idx="151">
                  <c:v>1775</c:v>
                </c:pt>
                <c:pt idx="152">
                  <c:v>1894</c:v>
                </c:pt>
                <c:pt idx="153">
                  <c:v>2070</c:v>
                </c:pt>
                <c:pt idx="154">
                  <c:v>2196</c:v>
                </c:pt>
                <c:pt idx="155">
                  <c:v>2551</c:v>
                </c:pt>
                <c:pt idx="156">
                  <c:v>2922</c:v>
                </c:pt>
                <c:pt idx="157">
                  <c:v>752</c:v>
                </c:pt>
                <c:pt idx="158">
                  <c:v>793</c:v>
                </c:pt>
                <c:pt idx="159">
                  <c:v>1731</c:v>
                </c:pt>
                <c:pt idx="160">
                  <c:v>1086</c:v>
                </c:pt>
                <c:pt idx="161">
                  <c:v>3026</c:v>
                </c:pt>
                <c:pt idx="162">
                  <c:v>2514</c:v>
                </c:pt>
                <c:pt idx="163">
                  <c:v>2308</c:v>
                </c:pt>
                <c:pt idx="164">
                  <c:v>2212</c:v>
                </c:pt>
                <c:pt idx="165">
                  <c:v>2419</c:v>
                </c:pt>
                <c:pt idx="166">
                  <c:v>2132</c:v>
                </c:pt>
                <c:pt idx="167">
                  <c:v>2359</c:v>
                </c:pt>
                <c:pt idx="168">
                  <c:v>2958</c:v>
                </c:pt>
                <c:pt idx="169">
                  <c:v>749</c:v>
                </c:pt>
                <c:pt idx="170">
                  <c:v>2663</c:v>
                </c:pt>
                <c:pt idx="171">
                  <c:v>1277</c:v>
                </c:pt>
                <c:pt idx="172">
                  <c:v>1094</c:v>
                </c:pt>
                <c:pt idx="173">
                  <c:v>1232</c:v>
                </c:pt>
                <c:pt idx="174">
                  <c:v>1023</c:v>
                </c:pt>
                <c:pt idx="175">
                  <c:v>1695</c:v>
                </c:pt>
                <c:pt idx="176">
                  <c:v>1677</c:v>
                </c:pt>
                <c:pt idx="177">
                  <c:v>2354</c:v>
                </c:pt>
                <c:pt idx="178">
                  <c:v>1806</c:v>
                </c:pt>
                <c:pt idx="179">
                  <c:v>1294</c:v>
                </c:pt>
                <c:pt idx="180">
                  <c:v>1640</c:v>
                </c:pt>
                <c:pt idx="181">
                  <c:v>1068</c:v>
                </c:pt>
              </c:numCache>
            </c:numRef>
          </c:bubbleSize>
          <c:bubble3D val="0"/>
          <c:extLst>
            <c:ext xmlns:c16="http://schemas.microsoft.com/office/drawing/2014/chart" uri="{C3380CC4-5D6E-409C-BE32-E72D297353CC}">
              <c16:uniqueId val="{00000003-2D10-4E5E-9489-B18E1CFA942D}"/>
            </c:ext>
          </c:extLst>
        </c:ser>
        <c:ser>
          <c:idx val="12"/>
          <c:order val="4"/>
          <c:tx>
            <c:strRef>
              <c:f>'Мособлдума партии'!$AJ$1</c:f>
              <c:strCache>
                <c:ptCount val="1"/>
                <c:pt idx="0">
                  <c:v>КПРФ</c:v>
                </c:pt>
              </c:strCache>
            </c:strRef>
          </c:tx>
          <c:spPr>
            <a:solidFill>
              <a:srgbClr val="FF0000">
                <a:alpha val="49804"/>
              </a:srgbClr>
            </a:solidFill>
            <a:ln w="25400">
              <a:noFill/>
            </a:ln>
          </c:spPr>
          <c:invertIfNegative val="0"/>
          <c:xVal>
            <c:numRef>
              <c:f>'Мособлдума партии'!$O$2:$O$183</c:f>
              <c:numCache>
                <c:formatCode>0.0</c:formatCode>
                <c:ptCount val="182"/>
                <c:pt idx="0">
                  <c:v>65.483476132190944</c:v>
                </c:pt>
                <c:pt idx="1">
                  <c:v>53.515625</c:v>
                </c:pt>
                <c:pt idx="2">
                  <c:v>54.8565676899849</c:v>
                </c:pt>
                <c:pt idx="3">
                  <c:v>54.665409990574929</c:v>
                </c:pt>
                <c:pt idx="4">
                  <c:v>48.402304871660554</c:v>
                </c:pt>
                <c:pt idx="5">
                  <c:v>50.359342915811091</c:v>
                </c:pt>
                <c:pt idx="6">
                  <c:v>59.511698880976603</c:v>
                </c:pt>
                <c:pt idx="7">
                  <c:v>73.105413105413106</c:v>
                </c:pt>
                <c:pt idx="8">
                  <c:v>71.602532878714072</c:v>
                </c:pt>
                <c:pt idx="9">
                  <c:v>36.124096897577559</c:v>
                </c:pt>
                <c:pt idx="10">
                  <c:v>25.402504472271914</c:v>
                </c:pt>
                <c:pt idx="11">
                  <c:v>72.779043280182236</c:v>
                </c:pt>
                <c:pt idx="12">
                  <c:v>50.76645626690712</c:v>
                </c:pt>
                <c:pt idx="13">
                  <c:v>35.336743393009378</c:v>
                </c:pt>
                <c:pt idx="14">
                  <c:v>46.317512274959086</c:v>
                </c:pt>
                <c:pt idx="15">
                  <c:v>29.405840886203425</c:v>
                </c:pt>
                <c:pt idx="16">
                  <c:v>43.734015345268546</c:v>
                </c:pt>
                <c:pt idx="17">
                  <c:v>31.410256410256409</c:v>
                </c:pt>
                <c:pt idx="18">
                  <c:v>48.484848484848484</c:v>
                </c:pt>
                <c:pt idx="19">
                  <c:v>35.881261595547308</c:v>
                </c:pt>
                <c:pt idx="20">
                  <c:v>24.388888888888889</c:v>
                </c:pt>
                <c:pt idx="21">
                  <c:v>46.110056925996204</c:v>
                </c:pt>
                <c:pt idx="22">
                  <c:v>30.428893905191874</c:v>
                </c:pt>
                <c:pt idx="23">
                  <c:v>35.842803030303031</c:v>
                </c:pt>
                <c:pt idx="24">
                  <c:v>30.996472663139329</c:v>
                </c:pt>
                <c:pt idx="25">
                  <c:v>37.5</c:v>
                </c:pt>
                <c:pt idx="26">
                  <c:v>45.486111111111114</c:v>
                </c:pt>
                <c:pt idx="27">
                  <c:v>30.472103004291846</c:v>
                </c:pt>
                <c:pt idx="28">
                  <c:v>38.564542046063202</c:v>
                </c:pt>
                <c:pt idx="29">
                  <c:v>34.21496904895892</c:v>
                </c:pt>
                <c:pt idx="30">
                  <c:v>38.358608385370204</c:v>
                </c:pt>
                <c:pt idx="31">
                  <c:v>29.568697198755004</c:v>
                </c:pt>
                <c:pt idx="32">
                  <c:v>38.906497622820922</c:v>
                </c:pt>
                <c:pt idx="33">
                  <c:v>60.397830018083184</c:v>
                </c:pt>
                <c:pt idx="34">
                  <c:v>40.557939914163093</c:v>
                </c:pt>
                <c:pt idx="35">
                  <c:v>60.643660333462584</c:v>
                </c:pt>
                <c:pt idx="36">
                  <c:v>80.892103676913806</c:v>
                </c:pt>
                <c:pt idx="37">
                  <c:v>37.185413456599896</c:v>
                </c:pt>
                <c:pt idx="38">
                  <c:v>39.089848308051344</c:v>
                </c:pt>
                <c:pt idx="39">
                  <c:v>39.518413597733712</c:v>
                </c:pt>
                <c:pt idx="40">
                  <c:v>34.831460674157306</c:v>
                </c:pt>
                <c:pt idx="41">
                  <c:v>30.410447761194028</c:v>
                </c:pt>
                <c:pt idx="42">
                  <c:v>33.382954968366207</c:v>
                </c:pt>
                <c:pt idx="43">
                  <c:v>33.17717206132879</c:v>
                </c:pt>
                <c:pt idx="44">
                  <c:v>66.638690725975664</c:v>
                </c:pt>
                <c:pt idx="45">
                  <c:v>76.323676323676324</c:v>
                </c:pt>
                <c:pt idx="46">
                  <c:v>63.553530751708429</c:v>
                </c:pt>
                <c:pt idx="47">
                  <c:v>38.345864661654133</c:v>
                </c:pt>
                <c:pt idx="48">
                  <c:v>46.447028423772608</c:v>
                </c:pt>
                <c:pt idx="49">
                  <c:v>54.770477047704773</c:v>
                </c:pt>
                <c:pt idx="50">
                  <c:v>39.671610169491522</c:v>
                </c:pt>
                <c:pt idx="51">
                  <c:v>36.756756756756758</c:v>
                </c:pt>
                <c:pt idx="52">
                  <c:v>41.573033707865171</c:v>
                </c:pt>
                <c:pt idx="53">
                  <c:v>77.949709864603477</c:v>
                </c:pt>
                <c:pt idx="54">
                  <c:v>33.753581661891118</c:v>
                </c:pt>
                <c:pt idx="55">
                  <c:v>33.72333103922918</c:v>
                </c:pt>
                <c:pt idx="56">
                  <c:v>42.37967914438503</c:v>
                </c:pt>
                <c:pt idx="57">
                  <c:v>34.80704383664294</c:v>
                </c:pt>
                <c:pt idx="58">
                  <c:v>27.331189710610932</c:v>
                </c:pt>
                <c:pt idx="59">
                  <c:v>40.369496855345915</c:v>
                </c:pt>
                <c:pt idx="60">
                  <c:v>36.407185628742518</c:v>
                </c:pt>
                <c:pt idx="61">
                  <c:v>43.839238498149129</c:v>
                </c:pt>
                <c:pt idx="62">
                  <c:v>26.411290322580644</c:v>
                </c:pt>
                <c:pt idx="63">
                  <c:v>26.433121019108281</c:v>
                </c:pt>
                <c:pt idx="64">
                  <c:v>29.407760381211709</c:v>
                </c:pt>
                <c:pt idx="65">
                  <c:v>56.201248049922</c:v>
                </c:pt>
                <c:pt idx="66">
                  <c:v>64.838255977496488</c:v>
                </c:pt>
                <c:pt idx="67">
                  <c:v>51.035502958579883</c:v>
                </c:pt>
                <c:pt idx="68">
                  <c:v>44.304522037779051</c:v>
                </c:pt>
                <c:pt idx="69">
                  <c:v>52.071316203460931</c:v>
                </c:pt>
                <c:pt idx="70">
                  <c:v>34.757118927973202</c:v>
                </c:pt>
                <c:pt idx="71">
                  <c:v>40.566873339238263</c:v>
                </c:pt>
                <c:pt idx="72">
                  <c:v>38.851802403204275</c:v>
                </c:pt>
                <c:pt idx="73">
                  <c:v>20.387305002689619</c:v>
                </c:pt>
                <c:pt idx="74">
                  <c:v>33.460076045627375</c:v>
                </c:pt>
                <c:pt idx="75">
                  <c:v>48.615384615384613</c:v>
                </c:pt>
                <c:pt idx="76">
                  <c:v>53.680078508341509</c:v>
                </c:pt>
                <c:pt idx="77">
                  <c:v>64.369747899159663</c:v>
                </c:pt>
                <c:pt idx="78">
                  <c:v>48.849441157133462</c:v>
                </c:pt>
                <c:pt idx="79">
                  <c:v>40.281690140845072</c:v>
                </c:pt>
                <c:pt idx="80">
                  <c:v>50.819672131147541</c:v>
                </c:pt>
                <c:pt idx="81">
                  <c:v>39.598662207357862</c:v>
                </c:pt>
                <c:pt idx="82">
                  <c:v>50.497787610619469</c:v>
                </c:pt>
                <c:pt idx="83">
                  <c:v>44.284294234592444</c:v>
                </c:pt>
                <c:pt idx="84">
                  <c:v>40.035693039857229</c:v>
                </c:pt>
                <c:pt idx="85">
                  <c:v>39.169139465875368</c:v>
                </c:pt>
                <c:pt idx="86">
                  <c:v>44.34270765206017</c:v>
                </c:pt>
                <c:pt idx="87">
                  <c:v>34.888888888888886</c:v>
                </c:pt>
                <c:pt idx="88">
                  <c:v>36.497890295358651</c:v>
                </c:pt>
                <c:pt idx="89">
                  <c:v>42.791645440652061</c:v>
                </c:pt>
                <c:pt idx="90">
                  <c:v>48.685594111461619</c:v>
                </c:pt>
                <c:pt idx="91">
                  <c:v>50.516089860352153</c:v>
                </c:pt>
                <c:pt idx="92">
                  <c:v>53.875379939209729</c:v>
                </c:pt>
                <c:pt idx="93">
                  <c:v>63.985148514851488</c:v>
                </c:pt>
                <c:pt idx="94">
                  <c:v>65.171137835337646</c:v>
                </c:pt>
                <c:pt idx="95">
                  <c:v>49.1869918699187</c:v>
                </c:pt>
                <c:pt idx="96">
                  <c:v>53.274139844617089</c:v>
                </c:pt>
                <c:pt idx="97">
                  <c:v>47.549224968579807</c:v>
                </c:pt>
                <c:pt idx="98">
                  <c:v>52.247557003257327</c:v>
                </c:pt>
                <c:pt idx="99">
                  <c:v>31.077504725897921</c:v>
                </c:pt>
                <c:pt idx="100">
                  <c:v>34.410181106216349</c:v>
                </c:pt>
                <c:pt idx="101">
                  <c:v>58.090452261306531</c:v>
                </c:pt>
                <c:pt idx="102">
                  <c:v>54.251012145748987</c:v>
                </c:pt>
                <c:pt idx="103">
                  <c:v>100</c:v>
                </c:pt>
                <c:pt idx="104">
                  <c:v>96.385542168674704</c:v>
                </c:pt>
                <c:pt idx="105">
                  <c:v>44.696539988655701</c:v>
                </c:pt>
                <c:pt idx="106">
                  <c:v>34.995296331138285</c:v>
                </c:pt>
                <c:pt idx="107">
                  <c:v>35.362694300518136</c:v>
                </c:pt>
                <c:pt idx="108">
                  <c:v>39.04</c:v>
                </c:pt>
                <c:pt idx="109">
                  <c:v>35.573122529644266</c:v>
                </c:pt>
                <c:pt idx="110">
                  <c:v>44.124423963133637</c:v>
                </c:pt>
                <c:pt idx="111">
                  <c:v>38.940448569218873</c:v>
                </c:pt>
                <c:pt idx="112">
                  <c:v>38.696701528559935</c:v>
                </c:pt>
                <c:pt idx="113">
                  <c:v>40.17918676774638</c:v>
                </c:pt>
                <c:pt idx="114">
                  <c:v>36.726039016115351</c:v>
                </c:pt>
                <c:pt idx="115">
                  <c:v>34.266958424507656</c:v>
                </c:pt>
                <c:pt idx="116">
                  <c:v>44.636471990464841</c:v>
                </c:pt>
                <c:pt idx="117">
                  <c:v>34.172839506172842</c:v>
                </c:pt>
                <c:pt idx="118">
                  <c:v>0</c:v>
                </c:pt>
                <c:pt idx="119">
                  <c:v>38.02469135802469</c:v>
                </c:pt>
                <c:pt idx="120">
                  <c:v>31.100045269352648</c:v>
                </c:pt>
                <c:pt idx="121">
                  <c:v>52.017167381974247</c:v>
                </c:pt>
                <c:pt idx="122">
                  <c:v>34.624937903626432</c:v>
                </c:pt>
                <c:pt idx="123">
                  <c:v>35.096391497775578</c:v>
                </c:pt>
                <c:pt idx="124">
                  <c:v>42.913385826771652</c:v>
                </c:pt>
                <c:pt idx="125">
                  <c:v>39.681637293916999</c:v>
                </c:pt>
                <c:pt idx="126">
                  <c:v>35.935455734845178</c:v>
                </c:pt>
                <c:pt idx="127">
                  <c:v>33.134191176470587</c:v>
                </c:pt>
                <c:pt idx="128">
                  <c:v>35.535535535535537</c:v>
                </c:pt>
                <c:pt idx="129">
                  <c:v>41.009946442234124</c:v>
                </c:pt>
                <c:pt idx="130">
                  <c:v>70.199587061252586</c:v>
                </c:pt>
                <c:pt idx="131">
                  <c:v>31.644736842105264</c:v>
                </c:pt>
                <c:pt idx="132">
                  <c:v>33.720930232558139</c:v>
                </c:pt>
                <c:pt idx="133">
                  <c:v>33.635729239357993</c:v>
                </c:pt>
                <c:pt idx="134">
                  <c:v>28.324324324324323</c:v>
                </c:pt>
                <c:pt idx="135">
                  <c:v>41.544291804831836</c:v>
                </c:pt>
                <c:pt idx="136">
                  <c:v>54.589371980676326</c:v>
                </c:pt>
                <c:pt idx="137">
                  <c:v>50.391644908616186</c:v>
                </c:pt>
                <c:pt idx="138">
                  <c:v>35.37117903930131</c:v>
                </c:pt>
                <c:pt idx="139">
                  <c:v>32.978251220594764</c:v>
                </c:pt>
                <c:pt idx="140">
                  <c:v>69.944444444444443</c:v>
                </c:pt>
                <c:pt idx="141">
                  <c:v>31.868640148011099</c:v>
                </c:pt>
                <c:pt idx="142">
                  <c:v>39.067055393586003</c:v>
                </c:pt>
                <c:pt idx="143">
                  <c:v>35.988620199146517</c:v>
                </c:pt>
                <c:pt idx="144">
                  <c:v>29.496402877697843</c:v>
                </c:pt>
                <c:pt idx="145">
                  <c:v>36.228482003129891</c:v>
                </c:pt>
                <c:pt idx="146">
                  <c:v>32.619775739041792</c:v>
                </c:pt>
                <c:pt idx="147">
                  <c:v>32.914704343275773</c:v>
                </c:pt>
                <c:pt idx="148">
                  <c:v>36.454703832752614</c:v>
                </c:pt>
                <c:pt idx="149">
                  <c:v>38.655077767612077</c:v>
                </c:pt>
                <c:pt idx="150">
                  <c:v>26.343679031037095</c:v>
                </c:pt>
                <c:pt idx="151">
                  <c:v>27.943661971830984</c:v>
                </c:pt>
                <c:pt idx="152">
                  <c:v>30.517423442449843</c:v>
                </c:pt>
                <c:pt idx="153">
                  <c:v>24.29951690821256</c:v>
                </c:pt>
                <c:pt idx="154">
                  <c:v>25.819672131147541</c:v>
                </c:pt>
                <c:pt idx="155">
                  <c:v>21.834574676597413</c:v>
                </c:pt>
                <c:pt idx="156">
                  <c:v>30.424366872005475</c:v>
                </c:pt>
                <c:pt idx="157">
                  <c:v>53.324468085106382</c:v>
                </c:pt>
                <c:pt idx="158">
                  <c:v>50.189155107187894</c:v>
                </c:pt>
                <c:pt idx="159">
                  <c:v>31.138070479491624</c:v>
                </c:pt>
                <c:pt idx="160">
                  <c:v>44.290976058931861</c:v>
                </c:pt>
                <c:pt idx="161">
                  <c:v>25.94183740912095</c:v>
                </c:pt>
                <c:pt idx="162">
                  <c:v>21.28082736674622</c:v>
                </c:pt>
                <c:pt idx="163">
                  <c:v>25.129982668977469</c:v>
                </c:pt>
                <c:pt idx="164">
                  <c:v>25.090415913200722</c:v>
                </c:pt>
                <c:pt idx="165">
                  <c:v>25.754443985117817</c:v>
                </c:pt>
                <c:pt idx="166">
                  <c:v>23.076923076923077</c:v>
                </c:pt>
                <c:pt idx="167">
                  <c:v>21.449766850360323</c:v>
                </c:pt>
                <c:pt idx="168">
                  <c:v>24.780256930358352</c:v>
                </c:pt>
                <c:pt idx="169">
                  <c:v>17.890520694259013</c:v>
                </c:pt>
                <c:pt idx="170">
                  <c:v>21.104018024784079</c:v>
                </c:pt>
                <c:pt idx="171">
                  <c:v>40.642129992169146</c:v>
                </c:pt>
                <c:pt idx="172">
                  <c:v>33.180987202925046</c:v>
                </c:pt>
                <c:pt idx="173">
                  <c:v>30.762987012987011</c:v>
                </c:pt>
                <c:pt idx="174">
                  <c:v>35.679374389051809</c:v>
                </c:pt>
                <c:pt idx="175">
                  <c:v>37.286135693215343</c:v>
                </c:pt>
                <c:pt idx="176">
                  <c:v>47.942754919499109</c:v>
                </c:pt>
                <c:pt idx="177">
                  <c:v>62.786745964316054</c:v>
                </c:pt>
                <c:pt idx="178">
                  <c:v>31.561461794019934</c:v>
                </c:pt>
                <c:pt idx="179">
                  <c:v>40.958268933539415</c:v>
                </c:pt>
                <c:pt idx="180">
                  <c:v>42.378048780487802</c:v>
                </c:pt>
                <c:pt idx="181">
                  <c:v>23.970037453183522</c:v>
                </c:pt>
              </c:numCache>
            </c:numRef>
          </c:xVal>
          <c:yVal>
            <c:numRef>
              <c:f>'Мособлдума партии'!$AJ$2:$AJ$183</c:f>
              <c:numCache>
                <c:formatCode>0.0</c:formatCode>
                <c:ptCount val="182"/>
                <c:pt idx="0">
                  <c:v>18.193146417445483</c:v>
                </c:pt>
                <c:pt idx="1">
                  <c:v>20.502092050209207</c:v>
                </c:pt>
                <c:pt idx="2">
                  <c:v>13.119266055045872</c:v>
                </c:pt>
                <c:pt idx="3">
                  <c:v>19.463667820069205</c:v>
                </c:pt>
                <c:pt idx="4">
                  <c:v>21.086956521739129</c:v>
                </c:pt>
                <c:pt idx="5">
                  <c:v>21.450459652706844</c:v>
                </c:pt>
                <c:pt idx="6">
                  <c:v>12.564102564102564</c:v>
                </c:pt>
                <c:pt idx="7">
                  <c:v>15.54160125588697</c:v>
                </c:pt>
                <c:pt idx="8">
                  <c:v>13.741496598639456</c:v>
                </c:pt>
                <c:pt idx="9">
                  <c:v>20.023837902264599</c:v>
                </c:pt>
                <c:pt idx="10">
                  <c:v>29.225352112676056</c:v>
                </c:pt>
                <c:pt idx="11">
                  <c:v>20.031298904538342</c:v>
                </c:pt>
                <c:pt idx="12">
                  <c:v>21.136767317939608</c:v>
                </c:pt>
                <c:pt idx="13">
                  <c:v>19.5416164053076</c:v>
                </c:pt>
                <c:pt idx="14">
                  <c:v>15.724381625441696</c:v>
                </c:pt>
                <c:pt idx="15">
                  <c:v>23.116438356164384</c:v>
                </c:pt>
                <c:pt idx="16">
                  <c:v>19.883040935672515</c:v>
                </c:pt>
                <c:pt idx="17">
                  <c:v>26.94300518134715</c:v>
                </c:pt>
                <c:pt idx="18">
                  <c:v>19.71153846153846</c:v>
                </c:pt>
                <c:pt idx="19">
                  <c:v>22.440537745604964</c:v>
                </c:pt>
                <c:pt idx="20">
                  <c:v>22.323462414578589</c:v>
                </c:pt>
                <c:pt idx="21">
                  <c:v>19.135802469135804</c:v>
                </c:pt>
                <c:pt idx="22">
                  <c:v>30.267062314540059</c:v>
                </c:pt>
                <c:pt idx="23">
                  <c:v>25.099075297225891</c:v>
                </c:pt>
                <c:pt idx="24">
                  <c:v>23.219373219373221</c:v>
                </c:pt>
                <c:pt idx="25">
                  <c:v>23.611111111111111</c:v>
                </c:pt>
                <c:pt idx="26">
                  <c:v>22.246455834242095</c:v>
                </c:pt>
                <c:pt idx="27">
                  <c:v>22.411347517730498</c:v>
                </c:pt>
                <c:pt idx="28">
                  <c:v>23.463687150837988</c:v>
                </c:pt>
                <c:pt idx="29">
                  <c:v>24.342105263157894</c:v>
                </c:pt>
                <c:pt idx="30">
                  <c:v>26.279069767441861</c:v>
                </c:pt>
                <c:pt idx="31">
                  <c:v>27.518796992481203</c:v>
                </c:pt>
                <c:pt idx="32">
                  <c:v>16.4969450101833</c:v>
                </c:pt>
                <c:pt idx="33">
                  <c:v>19.461077844311376</c:v>
                </c:pt>
                <c:pt idx="34">
                  <c:v>16.93121693121693</c:v>
                </c:pt>
                <c:pt idx="35">
                  <c:v>14.130434782608695</c:v>
                </c:pt>
                <c:pt idx="36">
                  <c:v>9.5380029806259312</c:v>
                </c:pt>
                <c:pt idx="37">
                  <c:v>17.679558011049725</c:v>
                </c:pt>
                <c:pt idx="38">
                  <c:v>24.477611940298509</c:v>
                </c:pt>
                <c:pt idx="39">
                  <c:v>19.494584837545126</c:v>
                </c:pt>
                <c:pt idx="40">
                  <c:v>17.460317460317459</c:v>
                </c:pt>
                <c:pt idx="41">
                  <c:v>23.312883435582823</c:v>
                </c:pt>
                <c:pt idx="42">
                  <c:v>29.096989966555185</c:v>
                </c:pt>
                <c:pt idx="43">
                  <c:v>30.166880616174584</c:v>
                </c:pt>
                <c:pt idx="44">
                  <c:v>8.7641866330390918</c:v>
                </c:pt>
                <c:pt idx="45">
                  <c:v>4.4502617801047117</c:v>
                </c:pt>
                <c:pt idx="46">
                  <c:v>16.487455197132615</c:v>
                </c:pt>
                <c:pt idx="47">
                  <c:v>21.732026143790851</c:v>
                </c:pt>
                <c:pt idx="48">
                  <c:v>22.114047287899862</c:v>
                </c:pt>
                <c:pt idx="49">
                  <c:v>19.131161236424393</c:v>
                </c:pt>
                <c:pt idx="50">
                  <c:v>18.291054739652871</c:v>
                </c:pt>
                <c:pt idx="51">
                  <c:v>23.366013071895424</c:v>
                </c:pt>
                <c:pt idx="52">
                  <c:v>24.466571834992887</c:v>
                </c:pt>
                <c:pt idx="53">
                  <c:v>32.506203473945412</c:v>
                </c:pt>
                <c:pt idx="54">
                  <c:v>21.938775510204081</c:v>
                </c:pt>
                <c:pt idx="55">
                  <c:v>21.632653061224488</c:v>
                </c:pt>
                <c:pt idx="56">
                  <c:v>19.873817034700316</c:v>
                </c:pt>
                <c:pt idx="57">
                  <c:v>23.896663078579117</c:v>
                </c:pt>
                <c:pt idx="58">
                  <c:v>18.954248366013072</c:v>
                </c:pt>
                <c:pt idx="59">
                  <c:v>21.518987341772153</c:v>
                </c:pt>
                <c:pt idx="60">
                  <c:v>29.867986798679869</c:v>
                </c:pt>
                <c:pt idx="61">
                  <c:v>15.319662243667068</c:v>
                </c:pt>
                <c:pt idx="62">
                  <c:v>26.335877862595421</c:v>
                </c:pt>
                <c:pt idx="63">
                  <c:v>24.096385542168676</c:v>
                </c:pt>
                <c:pt idx="64">
                  <c:v>26.851851851851851</c:v>
                </c:pt>
                <c:pt idx="65">
                  <c:v>21.374045801526716</c:v>
                </c:pt>
                <c:pt idx="66">
                  <c:v>18.872017353579174</c:v>
                </c:pt>
                <c:pt idx="67">
                  <c:v>15.362318840579711</c:v>
                </c:pt>
                <c:pt idx="68">
                  <c:v>23.255813953488371</c:v>
                </c:pt>
                <c:pt idx="69">
                  <c:v>22.05438066465257</c:v>
                </c:pt>
                <c:pt idx="70">
                  <c:v>20.722891566265059</c:v>
                </c:pt>
                <c:pt idx="71">
                  <c:v>21.881838074398249</c:v>
                </c:pt>
                <c:pt idx="72">
                  <c:v>20.659722222222221</c:v>
                </c:pt>
                <c:pt idx="73">
                  <c:v>23.746701846965699</c:v>
                </c:pt>
                <c:pt idx="74">
                  <c:v>29.908675799086758</c:v>
                </c:pt>
                <c:pt idx="75">
                  <c:v>21.202531645569621</c:v>
                </c:pt>
                <c:pt idx="76">
                  <c:v>17.781851512373969</c:v>
                </c:pt>
                <c:pt idx="77">
                  <c:v>15.721231766612641</c:v>
                </c:pt>
                <c:pt idx="78">
                  <c:v>14.401076716016151</c:v>
                </c:pt>
                <c:pt idx="79">
                  <c:v>19.23076923076923</c:v>
                </c:pt>
                <c:pt idx="80">
                  <c:v>21.161290322580644</c:v>
                </c:pt>
                <c:pt idx="81">
                  <c:v>26.182432432432432</c:v>
                </c:pt>
                <c:pt idx="82">
                  <c:v>18.072289156626507</c:v>
                </c:pt>
                <c:pt idx="83">
                  <c:v>20.763187429854096</c:v>
                </c:pt>
                <c:pt idx="84">
                  <c:v>21.099554234769688</c:v>
                </c:pt>
                <c:pt idx="85">
                  <c:v>21.666666666666668</c:v>
                </c:pt>
                <c:pt idx="86">
                  <c:v>17.551622418879056</c:v>
                </c:pt>
                <c:pt idx="87">
                  <c:v>22.452229299363058</c:v>
                </c:pt>
                <c:pt idx="88">
                  <c:v>24.651162790697676</c:v>
                </c:pt>
                <c:pt idx="89">
                  <c:v>17.857142857142858</c:v>
                </c:pt>
                <c:pt idx="90">
                  <c:v>17.818574514038875</c:v>
                </c:pt>
                <c:pt idx="91">
                  <c:v>15.024038461538462</c:v>
                </c:pt>
                <c:pt idx="92">
                  <c:v>15.232722143864597</c:v>
                </c:pt>
                <c:pt idx="93">
                  <c:v>13.023855577047067</c:v>
                </c:pt>
                <c:pt idx="94">
                  <c:v>20.981507823613086</c:v>
                </c:pt>
                <c:pt idx="95">
                  <c:v>7.7685950413223139</c:v>
                </c:pt>
                <c:pt idx="96">
                  <c:v>13.333333333333334</c:v>
                </c:pt>
                <c:pt idx="97">
                  <c:v>14.977973568281937</c:v>
                </c:pt>
                <c:pt idx="98">
                  <c:v>15.336658354114713</c:v>
                </c:pt>
                <c:pt idx="99">
                  <c:v>22.627737226277372</c:v>
                </c:pt>
                <c:pt idx="100">
                  <c:v>23.044096728307256</c:v>
                </c:pt>
                <c:pt idx="101">
                  <c:v>16.869565217391305</c:v>
                </c:pt>
                <c:pt idx="102">
                  <c:v>15.254237288135593</c:v>
                </c:pt>
                <c:pt idx="103">
                  <c:v>3.7878787878787881</c:v>
                </c:pt>
                <c:pt idx="104">
                  <c:v>20</c:v>
                </c:pt>
                <c:pt idx="105">
                  <c:v>22.081218274111674</c:v>
                </c:pt>
                <c:pt idx="106">
                  <c:v>26.612903225806452</c:v>
                </c:pt>
                <c:pt idx="107">
                  <c:v>26.251526251526251</c:v>
                </c:pt>
                <c:pt idx="108">
                  <c:v>21.369294605809127</c:v>
                </c:pt>
                <c:pt idx="109">
                  <c:v>24.888888888888889</c:v>
                </c:pt>
                <c:pt idx="110">
                  <c:v>21.650879566982407</c:v>
                </c:pt>
                <c:pt idx="111">
                  <c:v>23.744769874476987</c:v>
                </c:pt>
                <c:pt idx="112">
                  <c:v>27.5</c:v>
                </c:pt>
                <c:pt idx="113">
                  <c:v>16.466552315608919</c:v>
                </c:pt>
                <c:pt idx="114">
                  <c:v>20.185614849187935</c:v>
                </c:pt>
                <c:pt idx="115">
                  <c:v>26.923076923076923</c:v>
                </c:pt>
                <c:pt idx="116">
                  <c:v>18.498659517426272</c:v>
                </c:pt>
                <c:pt idx="117">
                  <c:v>27.601156069364162</c:v>
                </c:pt>
                <c:pt idx="118">
                  <c:v>0</c:v>
                </c:pt>
                <c:pt idx="119">
                  <c:v>23.943661971830984</c:v>
                </c:pt>
                <c:pt idx="120">
                  <c:v>24.163027656477439</c:v>
                </c:pt>
                <c:pt idx="121">
                  <c:v>17.491749174917491</c:v>
                </c:pt>
                <c:pt idx="122">
                  <c:v>18.468468468468469</c:v>
                </c:pt>
                <c:pt idx="123">
                  <c:v>20.851063829787233</c:v>
                </c:pt>
                <c:pt idx="124">
                  <c:v>23.329129886506937</c:v>
                </c:pt>
                <c:pt idx="125">
                  <c:v>20.086083213773314</c:v>
                </c:pt>
                <c:pt idx="126">
                  <c:v>23.179611650485437</c:v>
                </c:pt>
                <c:pt idx="127">
                  <c:v>23.023578363384189</c:v>
                </c:pt>
                <c:pt idx="128">
                  <c:v>21.830985915492956</c:v>
                </c:pt>
                <c:pt idx="129">
                  <c:v>25.186567164179106</c:v>
                </c:pt>
                <c:pt idx="130">
                  <c:v>26.699029126213592</c:v>
                </c:pt>
                <c:pt idx="131">
                  <c:v>27.858627858627859</c:v>
                </c:pt>
                <c:pt idx="132">
                  <c:v>29.411764705882351</c:v>
                </c:pt>
                <c:pt idx="133">
                  <c:v>25.726141078838175</c:v>
                </c:pt>
                <c:pt idx="134">
                  <c:v>30.152671755725191</c:v>
                </c:pt>
                <c:pt idx="135">
                  <c:v>19.498289623717216</c:v>
                </c:pt>
                <c:pt idx="136">
                  <c:v>19.646017699115045</c:v>
                </c:pt>
                <c:pt idx="137">
                  <c:v>15.248962655601659</c:v>
                </c:pt>
                <c:pt idx="138">
                  <c:v>26.233766233766232</c:v>
                </c:pt>
                <c:pt idx="139">
                  <c:v>26.110363391655451</c:v>
                </c:pt>
                <c:pt idx="140">
                  <c:v>17.077045274027004</c:v>
                </c:pt>
                <c:pt idx="141">
                  <c:v>23.512336719883891</c:v>
                </c:pt>
                <c:pt idx="142">
                  <c:v>26.103404791929382</c:v>
                </c:pt>
                <c:pt idx="143">
                  <c:v>24.58100558659218</c:v>
                </c:pt>
                <c:pt idx="144">
                  <c:v>26.016260162601625</c:v>
                </c:pt>
                <c:pt idx="145">
                  <c:v>23.110151187904968</c:v>
                </c:pt>
                <c:pt idx="146">
                  <c:v>18.4375</c:v>
                </c:pt>
                <c:pt idx="147">
                  <c:v>24.006359300476948</c:v>
                </c:pt>
                <c:pt idx="148">
                  <c:v>23.980815347721823</c:v>
                </c:pt>
                <c:pt idx="149">
                  <c:v>25.592417061611375</c:v>
                </c:pt>
                <c:pt idx="150">
                  <c:v>25</c:v>
                </c:pt>
                <c:pt idx="151">
                  <c:v>29.032258064516128</c:v>
                </c:pt>
                <c:pt idx="152">
                  <c:v>30.27681660899654</c:v>
                </c:pt>
                <c:pt idx="153">
                  <c:v>28.230616302186878</c:v>
                </c:pt>
                <c:pt idx="154">
                  <c:v>24.867724867724867</c:v>
                </c:pt>
                <c:pt idx="155">
                  <c:v>25.493716337522443</c:v>
                </c:pt>
                <c:pt idx="156">
                  <c:v>16.872890888638921</c:v>
                </c:pt>
                <c:pt idx="157">
                  <c:v>13.283208020050125</c:v>
                </c:pt>
                <c:pt idx="158">
                  <c:v>15.555555555555555</c:v>
                </c:pt>
                <c:pt idx="159">
                  <c:v>25.751879699248121</c:v>
                </c:pt>
                <c:pt idx="160">
                  <c:v>11.850311850311851</c:v>
                </c:pt>
                <c:pt idx="161">
                  <c:v>28.735632183908045</c:v>
                </c:pt>
                <c:pt idx="162">
                  <c:v>27.476635514018692</c:v>
                </c:pt>
                <c:pt idx="163">
                  <c:v>31.433506044905009</c:v>
                </c:pt>
                <c:pt idx="164">
                  <c:v>23.963963963963963</c:v>
                </c:pt>
                <c:pt idx="165">
                  <c:v>29.534510433386838</c:v>
                </c:pt>
                <c:pt idx="166">
                  <c:v>23.421588594704684</c:v>
                </c:pt>
                <c:pt idx="167">
                  <c:v>28.827037773359841</c:v>
                </c:pt>
                <c:pt idx="168">
                  <c:v>30.286493860845837</c:v>
                </c:pt>
                <c:pt idx="169">
                  <c:v>26.5625</c:v>
                </c:pt>
                <c:pt idx="170">
                  <c:v>32.562277580071175</c:v>
                </c:pt>
                <c:pt idx="171">
                  <c:v>16.377649325626205</c:v>
                </c:pt>
                <c:pt idx="172">
                  <c:v>15.702479338842975</c:v>
                </c:pt>
                <c:pt idx="173">
                  <c:v>22.691292875989447</c:v>
                </c:pt>
                <c:pt idx="174">
                  <c:v>23.561643835616437</c:v>
                </c:pt>
                <c:pt idx="175">
                  <c:v>17.553191489361701</c:v>
                </c:pt>
                <c:pt idx="176">
                  <c:v>24.378109452736318</c:v>
                </c:pt>
                <c:pt idx="177">
                  <c:v>10.690121786197563</c:v>
                </c:pt>
                <c:pt idx="178">
                  <c:v>16.140350877192983</c:v>
                </c:pt>
                <c:pt idx="179">
                  <c:v>41.698113207547166</c:v>
                </c:pt>
                <c:pt idx="180">
                  <c:v>48.201438848920866</c:v>
                </c:pt>
                <c:pt idx="181">
                  <c:v>26.953125</c:v>
                </c:pt>
              </c:numCache>
            </c:numRef>
          </c:yVal>
          <c:bubbleSize>
            <c:numRef>
              <c:f>'Мособлдума партии'!$J$2:$J$183</c:f>
              <c:numCache>
                <c:formatCode>General</c:formatCode>
                <c:ptCount val="182"/>
                <c:pt idx="0">
                  <c:v>2451</c:v>
                </c:pt>
                <c:pt idx="1">
                  <c:v>1792</c:v>
                </c:pt>
                <c:pt idx="2">
                  <c:v>1987</c:v>
                </c:pt>
                <c:pt idx="3">
                  <c:v>2122</c:v>
                </c:pt>
                <c:pt idx="4">
                  <c:v>1909</c:v>
                </c:pt>
                <c:pt idx="5">
                  <c:v>1948</c:v>
                </c:pt>
                <c:pt idx="6">
                  <c:v>1966</c:v>
                </c:pt>
                <c:pt idx="7">
                  <c:v>1755</c:v>
                </c:pt>
                <c:pt idx="8">
                  <c:v>2053</c:v>
                </c:pt>
                <c:pt idx="9">
                  <c:v>2353</c:v>
                </c:pt>
                <c:pt idx="10">
                  <c:v>2236</c:v>
                </c:pt>
                <c:pt idx="11">
                  <c:v>878</c:v>
                </c:pt>
                <c:pt idx="12">
                  <c:v>1109</c:v>
                </c:pt>
                <c:pt idx="13">
                  <c:v>2346</c:v>
                </c:pt>
                <c:pt idx="14">
                  <c:v>1222</c:v>
                </c:pt>
                <c:pt idx="15">
                  <c:v>1986</c:v>
                </c:pt>
                <c:pt idx="16">
                  <c:v>391</c:v>
                </c:pt>
                <c:pt idx="17">
                  <c:v>1248</c:v>
                </c:pt>
                <c:pt idx="18">
                  <c:v>1716</c:v>
                </c:pt>
                <c:pt idx="19">
                  <c:v>2695</c:v>
                </c:pt>
                <c:pt idx="20">
                  <c:v>1800</c:v>
                </c:pt>
                <c:pt idx="21">
                  <c:v>2108</c:v>
                </c:pt>
                <c:pt idx="22">
                  <c:v>2215</c:v>
                </c:pt>
                <c:pt idx="23">
                  <c:v>2112</c:v>
                </c:pt>
                <c:pt idx="24">
                  <c:v>2268</c:v>
                </c:pt>
                <c:pt idx="25">
                  <c:v>2112</c:v>
                </c:pt>
                <c:pt idx="26">
                  <c:v>2016</c:v>
                </c:pt>
                <c:pt idx="27">
                  <c:v>2330</c:v>
                </c:pt>
                <c:pt idx="28">
                  <c:v>1867</c:v>
                </c:pt>
                <c:pt idx="29">
                  <c:v>1777</c:v>
                </c:pt>
                <c:pt idx="30">
                  <c:v>1121</c:v>
                </c:pt>
                <c:pt idx="31">
                  <c:v>2249</c:v>
                </c:pt>
                <c:pt idx="32">
                  <c:v>1262</c:v>
                </c:pt>
                <c:pt idx="33">
                  <c:v>553</c:v>
                </c:pt>
                <c:pt idx="34">
                  <c:v>932</c:v>
                </c:pt>
                <c:pt idx="35">
                  <c:v>2579</c:v>
                </c:pt>
                <c:pt idx="36">
                  <c:v>1659</c:v>
                </c:pt>
                <c:pt idx="37">
                  <c:v>1947</c:v>
                </c:pt>
                <c:pt idx="38">
                  <c:v>857</c:v>
                </c:pt>
                <c:pt idx="39">
                  <c:v>1412</c:v>
                </c:pt>
                <c:pt idx="40">
                  <c:v>2047</c:v>
                </c:pt>
                <c:pt idx="41">
                  <c:v>536</c:v>
                </c:pt>
                <c:pt idx="42">
                  <c:v>2687</c:v>
                </c:pt>
                <c:pt idx="43">
                  <c:v>2348</c:v>
                </c:pt>
                <c:pt idx="44">
                  <c:v>2383</c:v>
                </c:pt>
                <c:pt idx="45">
                  <c:v>1001</c:v>
                </c:pt>
                <c:pt idx="46">
                  <c:v>439</c:v>
                </c:pt>
                <c:pt idx="47">
                  <c:v>1596</c:v>
                </c:pt>
                <c:pt idx="48">
                  <c:v>1548</c:v>
                </c:pt>
                <c:pt idx="49">
                  <c:v>2222</c:v>
                </c:pt>
                <c:pt idx="50">
                  <c:v>1888</c:v>
                </c:pt>
                <c:pt idx="51">
                  <c:v>1665</c:v>
                </c:pt>
                <c:pt idx="52">
                  <c:v>1691</c:v>
                </c:pt>
                <c:pt idx="53">
                  <c:v>517</c:v>
                </c:pt>
                <c:pt idx="54">
                  <c:v>1745</c:v>
                </c:pt>
                <c:pt idx="55">
                  <c:v>1453</c:v>
                </c:pt>
                <c:pt idx="56">
                  <c:v>1496</c:v>
                </c:pt>
                <c:pt idx="57">
                  <c:v>2669</c:v>
                </c:pt>
                <c:pt idx="58">
                  <c:v>2799</c:v>
                </c:pt>
                <c:pt idx="59">
                  <c:v>2544</c:v>
                </c:pt>
                <c:pt idx="60">
                  <c:v>1670</c:v>
                </c:pt>
                <c:pt idx="61">
                  <c:v>1891</c:v>
                </c:pt>
                <c:pt idx="62">
                  <c:v>1984</c:v>
                </c:pt>
                <c:pt idx="63">
                  <c:v>628</c:v>
                </c:pt>
                <c:pt idx="64">
                  <c:v>1469</c:v>
                </c:pt>
                <c:pt idx="65">
                  <c:v>2564</c:v>
                </c:pt>
                <c:pt idx="66">
                  <c:v>711</c:v>
                </c:pt>
                <c:pt idx="67">
                  <c:v>676</c:v>
                </c:pt>
                <c:pt idx="68">
                  <c:v>1747</c:v>
                </c:pt>
                <c:pt idx="69">
                  <c:v>1907</c:v>
                </c:pt>
                <c:pt idx="70">
                  <c:v>1194</c:v>
                </c:pt>
                <c:pt idx="71">
                  <c:v>1129</c:v>
                </c:pt>
                <c:pt idx="72">
                  <c:v>1498</c:v>
                </c:pt>
                <c:pt idx="73">
                  <c:v>1859</c:v>
                </c:pt>
                <c:pt idx="74">
                  <c:v>1315</c:v>
                </c:pt>
                <c:pt idx="75">
                  <c:v>1300</c:v>
                </c:pt>
                <c:pt idx="76">
                  <c:v>2038</c:v>
                </c:pt>
                <c:pt idx="77">
                  <c:v>1190</c:v>
                </c:pt>
                <c:pt idx="78">
                  <c:v>1521</c:v>
                </c:pt>
                <c:pt idx="79">
                  <c:v>710</c:v>
                </c:pt>
                <c:pt idx="80">
                  <c:v>1525</c:v>
                </c:pt>
                <c:pt idx="81">
                  <c:v>1495</c:v>
                </c:pt>
                <c:pt idx="82">
                  <c:v>1808</c:v>
                </c:pt>
                <c:pt idx="83">
                  <c:v>2012</c:v>
                </c:pt>
                <c:pt idx="84">
                  <c:v>1681</c:v>
                </c:pt>
                <c:pt idx="85">
                  <c:v>1685</c:v>
                </c:pt>
                <c:pt idx="86">
                  <c:v>1529</c:v>
                </c:pt>
                <c:pt idx="87">
                  <c:v>1800</c:v>
                </c:pt>
                <c:pt idx="88">
                  <c:v>1896</c:v>
                </c:pt>
                <c:pt idx="89">
                  <c:v>1963</c:v>
                </c:pt>
                <c:pt idx="90">
                  <c:v>1902</c:v>
                </c:pt>
                <c:pt idx="91">
                  <c:v>1647</c:v>
                </c:pt>
                <c:pt idx="92">
                  <c:v>1316</c:v>
                </c:pt>
                <c:pt idx="93">
                  <c:v>2424</c:v>
                </c:pt>
                <c:pt idx="94">
                  <c:v>2162</c:v>
                </c:pt>
                <c:pt idx="95">
                  <c:v>1230</c:v>
                </c:pt>
                <c:pt idx="96">
                  <c:v>901</c:v>
                </c:pt>
                <c:pt idx="97">
                  <c:v>2387</c:v>
                </c:pt>
                <c:pt idx="98">
                  <c:v>1535</c:v>
                </c:pt>
                <c:pt idx="99">
                  <c:v>2645</c:v>
                </c:pt>
                <c:pt idx="100">
                  <c:v>2043</c:v>
                </c:pt>
                <c:pt idx="101">
                  <c:v>1990</c:v>
                </c:pt>
                <c:pt idx="102">
                  <c:v>988</c:v>
                </c:pt>
                <c:pt idx="103">
                  <c:v>132</c:v>
                </c:pt>
                <c:pt idx="104">
                  <c:v>83</c:v>
                </c:pt>
                <c:pt idx="105">
                  <c:v>1763</c:v>
                </c:pt>
                <c:pt idx="106">
                  <c:v>1063</c:v>
                </c:pt>
                <c:pt idx="107">
                  <c:v>2316</c:v>
                </c:pt>
                <c:pt idx="108">
                  <c:v>1250</c:v>
                </c:pt>
                <c:pt idx="109">
                  <c:v>1265</c:v>
                </c:pt>
                <c:pt idx="110">
                  <c:v>1736</c:v>
                </c:pt>
                <c:pt idx="111">
                  <c:v>2586</c:v>
                </c:pt>
                <c:pt idx="112">
                  <c:v>1243</c:v>
                </c:pt>
                <c:pt idx="113">
                  <c:v>1451</c:v>
                </c:pt>
                <c:pt idx="114">
                  <c:v>1179</c:v>
                </c:pt>
                <c:pt idx="115">
                  <c:v>2285</c:v>
                </c:pt>
                <c:pt idx="116">
                  <c:v>1678</c:v>
                </c:pt>
                <c:pt idx="117">
                  <c:v>2025</c:v>
                </c:pt>
                <c:pt idx="118">
                  <c:v>0</c:v>
                </c:pt>
                <c:pt idx="119">
                  <c:v>2430</c:v>
                </c:pt>
                <c:pt idx="120">
                  <c:v>2209</c:v>
                </c:pt>
                <c:pt idx="121">
                  <c:v>2330</c:v>
                </c:pt>
                <c:pt idx="122">
                  <c:v>2013</c:v>
                </c:pt>
                <c:pt idx="123">
                  <c:v>2023</c:v>
                </c:pt>
                <c:pt idx="124">
                  <c:v>2032</c:v>
                </c:pt>
                <c:pt idx="125">
                  <c:v>1759</c:v>
                </c:pt>
                <c:pt idx="126">
                  <c:v>2293</c:v>
                </c:pt>
                <c:pt idx="127">
                  <c:v>2176</c:v>
                </c:pt>
                <c:pt idx="128">
                  <c:v>1998</c:v>
                </c:pt>
                <c:pt idx="129">
                  <c:v>1307</c:v>
                </c:pt>
                <c:pt idx="130">
                  <c:v>1453</c:v>
                </c:pt>
                <c:pt idx="131">
                  <c:v>1520</c:v>
                </c:pt>
                <c:pt idx="132">
                  <c:v>1462</c:v>
                </c:pt>
                <c:pt idx="133">
                  <c:v>1433</c:v>
                </c:pt>
                <c:pt idx="134">
                  <c:v>1850</c:v>
                </c:pt>
                <c:pt idx="135">
                  <c:v>2111</c:v>
                </c:pt>
                <c:pt idx="136">
                  <c:v>1035</c:v>
                </c:pt>
                <c:pt idx="137">
                  <c:v>1915</c:v>
                </c:pt>
                <c:pt idx="138">
                  <c:v>2290</c:v>
                </c:pt>
                <c:pt idx="139">
                  <c:v>2253</c:v>
                </c:pt>
                <c:pt idx="140">
                  <c:v>1800</c:v>
                </c:pt>
                <c:pt idx="141">
                  <c:v>2162</c:v>
                </c:pt>
                <c:pt idx="142">
                  <c:v>2058</c:v>
                </c:pt>
                <c:pt idx="143">
                  <c:v>2109</c:v>
                </c:pt>
                <c:pt idx="144">
                  <c:v>1251</c:v>
                </c:pt>
                <c:pt idx="145">
                  <c:v>1278</c:v>
                </c:pt>
                <c:pt idx="146">
                  <c:v>981</c:v>
                </c:pt>
                <c:pt idx="147">
                  <c:v>1911</c:v>
                </c:pt>
                <c:pt idx="148">
                  <c:v>2296</c:v>
                </c:pt>
                <c:pt idx="149">
                  <c:v>2186</c:v>
                </c:pt>
                <c:pt idx="150">
                  <c:v>2642</c:v>
                </c:pt>
                <c:pt idx="151">
                  <c:v>1775</c:v>
                </c:pt>
                <c:pt idx="152">
                  <c:v>1894</c:v>
                </c:pt>
                <c:pt idx="153">
                  <c:v>2070</c:v>
                </c:pt>
                <c:pt idx="154">
                  <c:v>2196</c:v>
                </c:pt>
                <c:pt idx="155">
                  <c:v>2551</c:v>
                </c:pt>
                <c:pt idx="156">
                  <c:v>2922</c:v>
                </c:pt>
                <c:pt idx="157">
                  <c:v>752</c:v>
                </c:pt>
                <c:pt idx="158">
                  <c:v>793</c:v>
                </c:pt>
                <c:pt idx="159">
                  <c:v>1731</c:v>
                </c:pt>
                <c:pt idx="160">
                  <c:v>1086</c:v>
                </c:pt>
                <c:pt idx="161">
                  <c:v>3026</c:v>
                </c:pt>
                <c:pt idx="162">
                  <c:v>2514</c:v>
                </c:pt>
                <c:pt idx="163">
                  <c:v>2308</c:v>
                </c:pt>
                <c:pt idx="164">
                  <c:v>2212</c:v>
                </c:pt>
                <c:pt idx="165">
                  <c:v>2419</c:v>
                </c:pt>
                <c:pt idx="166">
                  <c:v>2132</c:v>
                </c:pt>
                <c:pt idx="167">
                  <c:v>2359</c:v>
                </c:pt>
                <c:pt idx="168">
                  <c:v>2958</c:v>
                </c:pt>
                <c:pt idx="169">
                  <c:v>749</c:v>
                </c:pt>
                <c:pt idx="170">
                  <c:v>2663</c:v>
                </c:pt>
                <c:pt idx="171">
                  <c:v>1277</c:v>
                </c:pt>
                <c:pt idx="172">
                  <c:v>1094</c:v>
                </c:pt>
                <c:pt idx="173">
                  <c:v>1232</c:v>
                </c:pt>
                <c:pt idx="174">
                  <c:v>1023</c:v>
                </c:pt>
                <c:pt idx="175">
                  <c:v>1695</c:v>
                </c:pt>
                <c:pt idx="176">
                  <c:v>1677</c:v>
                </c:pt>
                <c:pt idx="177">
                  <c:v>2354</c:v>
                </c:pt>
                <c:pt idx="178">
                  <c:v>1806</c:v>
                </c:pt>
                <c:pt idx="179">
                  <c:v>1294</c:v>
                </c:pt>
                <c:pt idx="180">
                  <c:v>1640</c:v>
                </c:pt>
                <c:pt idx="181">
                  <c:v>1068</c:v>
                </c:pt>
              </c:numCache>
            </c:numRef>
          </c:bubbleSize>
          <c:bubble3D val="0"/>
          <c:extLst>
            <c:ext xmlns:c16="http://schemas.microsoft.com/office/drawing/2014/chart" uri="{C3380CC4-5D6E-409C-BE32-E72D297353CC}">
              <c16:uniqueId val="{00000004-2D10-4E5E-9489-B18E1CFA942D}"/>
            </c:ext>
          </c:extLst>
        </c:ser>
        <c:ser>
          <c:idx val="13"/>
          <c:order val="5"/>
          <c:tx>
            <c:strRef>
              <c:f>'Мособлдума партии'!$AL$1</c:f>
              <c:strCache>
                <c:ptCount val="1"/>
                <c:pt idx="0">
                  <c:v>Единая Россия</c:v>
                </c:pt>
              </c:strCache>
            </c:strRef>
          </c:tx>
          <c:spPr>
            <a:solidFill>
              <a:srgbClr val="0000FF">
                <a:alpha val="49804"/>
              </a:srgbClr>
            </a:solidFill>
            <a:ln w="25400"/>
          </c:spPr>
          <c:invertIfNegative val="0"/>
          <c:xVal>
            <c:numRef>
              <c:f>'Мособлдума партии'!$O$2:$O$183</c:f>
              <c:numCache>
                <c:formatCode>0.0</c:formatCode>
                <c:ptCount val="182"/>
                <c:pt idx="0">
                  <c:v>65.483476132190944</c:v>
                </c:pt>
                <c:pt idx="1">
                  <c:v>53.515625</c:v>
                </c:pt>
                <c:pt idx="2">
                  <c:v>54.8565676899849</c:v>
                </c:pt>
                <c:pt idx="3">
                  <c:v>54.665409990574929</c:v>
                </c:pt>
                <c:pt idx="4">
                  <c:v>48.402304871660554</c:v>
                </c:pt>
                <c:pt idx="5">
                  <c:v>50.359342915811091</c:v>
                </c:pt>
                <c:pt idx="6">
                  <c:v>59.511698880976603</c:v>
                </c:pt>
                <c:pt idx="7">
                  <c:v>73.105413105413106</c:v>
                </c:pt>
                <c:pt idx="8">
                  <c:v>71.602532878714072</c:v>
                </c:pt>
                <c:pt idx="9">
                  <c:v>36.124096897577559</c:v>
                </c:pt>
                <c:pt idx="10">
                  <c:v>25.402504472271914</c:v>
                </c:pt>
                <c:pt idx="11">
                  <c:v>72.779043280182236</c:v>
                </c:pt>
                <c:pt idx="12">
                  <c:v>50.76645626690712</c:v>
                </c:pt>
                <c:pt idx="13">
                  <c:v>35.336743393009378</c:v>
                </c:pt>
                <c:pt idx="14">
                  <c:v>46.317512274959086</c:v>
                </c:pt>
                <c:pt idx="15">
                  <c:v>29.405840886203425</c:v>
                </c:pt>
                <c:pt idx="16">
                  <c:v>43.734015345268546</c:v>
                </c:pt>
                <c:pt idx="17">
                  <c:v>31.410256410256409</c:v>
                </c:pt>
                <c:pt idx="18">
                  <c:v>48.484848484848484</c:v>
                </c:pt>
                <c:pt idx="19">
                  <c:v>35.881261595547308</c:v>
                </c:pt>
                <c:pt idx="20">
                  <c:v>24.388888888888889</c:v>
                </c:pt>
                <c:pt idx="21">
                  <c:v>46.110056925996204</c:v>
                </c:pt>
                <c:pt idx="22">
                  <c:v>30.428893905191874</c:v>
                </c:pt>
                <c:pt idx="23">
                  <c:v>35.842803030303031</c:v>
                </c:pt>
                <c:pt idx="24">
                  <c:v>30.996472663139329</c:v>
                </c:pt>
                <c:pt idx="25">
                  <c:v>37.5</c:v>
                </c:pt>
                <c:pt idx="26">
                  <c:v>45.486111111111114</c:v>
                </c:pt>
                <c:pt idx="27">
                  <c:v>30.472103004291846</c:v>
                </c:pt>
                <c:pt idx="28">
                  <c:v>38.564542046063202</c:v>
                </c:pt>
                <c:pt idx="29">
                  <c:v>34.21496904895892</c:v>
                </c:pt>
                <c:pt idx="30">
                  <c:v>38.358608385370204</c:v>
                </c:pt>
                <c:pt idx="31">
                  <c:v>29.568697198755004</c:v>
                </c:pt>
                <c:pt idx="32">
                  <c:v>38.906497622820922</c:v>
                </c:pt>
                <c:pt idx="33">
                  <c:v>60.397830018083184</c:v>
                </c:pt>
                <c:pt idx="34">
                  <c:v>40.557939914163093</c:v>
                </c:pt>
                <c:pt idx="35">
                  <c:v>60.643660333462584</c:v>
                </c:pt>
                <c:pt idx="36">
                  <c:v>80.892103676913806</c:v>
                </c:pt>
                <c:pt idx="37">
                  <c:v>37.185413456599896</c:v>
                </c:pt>
                <c:pt idx="38">
                  <c:v>39.089848308051344</c:v>
                </c:pt>
                <c:pt idx="39">
                  <c:v>39.518413597733712</c:v>
                </c:pt>
                <c:pt idx="40">
                  <c:v>34.831460674157306</c:v>
                </c:pt>
                <c:pt idx="41">
                  <c:v>30.410447761194028</c:v>
                </c:pt>
                <c:pt idx="42">
                  <c:v>33.382954968366207</c:v>
                </c:pt>
                <c:pt idx="43">
                  <c:v>33.17717206132879</c:v>
                </c:pt>
                <c:pt idx="44">
                  <c:v>66.638690725975664</c:v>
                </c:pt>
                <c:pt idx="45">
                  <c:v>76.323676323676324</c:v>
                </c:pt>
                <c:pt idx="46">
                  <c:v>63.553530751708429</c:v>
                </c:pt>
                <c:pt idx="47">
                  <c:v>38.345864661654133</c:v>
                </c:pt>
                <c:pt idx="48">
                  <c:v>46.447028423772608</c:v>
                </c:pt>
                <c:pt idx="49">
                  <c:v>54.770477047704773</c:v>
                </c:pt>
                <c:pt idx="50">
                  <c:v>39.671610169491522</c:v>
                </c:pt>
                <c:pt idx="51">
                  <c:v>36.756756756756758</c:v>
                </c:pt>
                <c:pt idx="52">
                  <c:v>41.573033707865171</c:v>
                </c:pt>
                <c:pt idx="53">
                  <c:v>77.949709864603477</c:v>
                </c:pt>
                <c:pt idx="54">
                  <c:v>33.753581661891118</c:v>
                </c:pt>
                <c:pt idx="55">
                  <c:v>33.72333103922918</c:v>
                </c:pt>
                <c:pt idx="56">
                  <c:v>42.37967914438503</c:v>
                </c:pt>
                <c:pt idx="57">
                  <c:v>34.80704383664294</c:v>
                </c:pt>
                <c:pt idx="58">
                  <c:v>27.331189710610932</c:v>
                </c:pt>
                <c:pt idx="59">
                  <c:v>40.369496855345915</c:v>
                </c:pt>
                <c:pt idx="60">
                  <c:v>36.407185628742518</c:v>
                </c:pt>
                <c:pt idx="61">
                  <c:v>43.839238498149129</c:v>
                </c:pt>
                <c:pt idx="62">
                  <c:v>26.411290322580644</c:v>
                </c:pt>
                <c:pt idx="63">
                  <c:v>26.433121019108281</c:v>
                </c:pt>
                <c:pt idx="64">
                  <c:v>29.407760381211709</c:v>
                </c:pt>
                <c:pt idx="65">
                  <c:v>56.201248049922</c:v>
                </c:pt>
                <c:pt idx="66">
                  <c:v>64.838255977496488</c:v>
                </c:pt>
                <c:pt idx="67">
                  <c:v>51.035502958579883</c:v>
                </c:pt>
                <c:pt idx="68">
                  <c:v>44.304522037779051</c:v>
                </c:pt>
                <c:pt idx="69">
                  <c:v>52.071316203460931</c:v>
                </c:pt>
                <c:pt idx="70">
                  <c:v>34.757118927973202</c:v>
                </c:pt>
                <c:pt idx="71">
                  <c:v>40.566873339238263</c:v>
                </c:pt>
                <c:pt idx="72">
                  <c:v>38.851802403204275</c:v>
                </c:pt>
                <c:pt idx="73">
                  <c:v>20.387305002689619</c:v>
                </c:pt>
                <c:pt idx="74">
                  <c:v>33.460076045627375</c:v>
                </c:pt>
                <c:pt idx="75">
                  <c:v>48.615384615384613</c:v>
                </c:pt>
                <c:pt idx="76">
                  <c:v>53.680078508341509</c:v>
                </c:pt>
                <c:pt idx="77">
                  <c:v>64.369747899159663</c:v>
                </c:pt>
                <c:pt idx="78">
                  <c:v>48.849441157133462</c:v>
                </c:pt>
                <c:pt idx="79">
                  <c:v>40.281690140845072</c:v>
                </c:pt>
                <c:pt idx="80">
                  <c:v>50.819672131147541</c:v>
                </c:pt>
                <c:pt idx="81">
                  <c:v>39.598662207357862</c:v>
                </c:pt>
                <c:pt idx="82">
                  <c:v>50.497787610619469</c:v>
                </c:pt>
                <c:pt idx="83">
                  <c:v>44.284294234592444</c:v>
                </c:pt>
                <c:pt idx="84">
                  <c:v>40.035693039857229</c:v>
                </c:pt>
                <c:pt idx="85">
                  <c:v>39.169139465875368</c:v>
                </c:pt>
                <c:pt idx="86">
                  <c:v>44.34270765206017</c:v>
                </c:pt>
                <c:pt idx="87">
                  <c:v>34.888888888888886</c:v>
                </c:pt>
                <c:pt idx="88">
                  <c:v>36.497890295358651</c:v>
                </c:pt>
                <c:pt idx="89">
                  <c:v>42.791645440652061</c:v>
                </c:pt>
                <c:pt idx="90">
                  <c:v>48.685594111461619</c:v>
                </c:pt>
                <c:pt idx="91">
                  <c:v>50.516089860352153</c:v>
                </c:pt>
                <c:pt idx="92">
                  <c:v>53.875379939209729</c:v>
                </c:pt>
                <c:pt idx="93">
                  <c:v>63.985148514851488</c:v>
                </c:pt>
                <c:pt idx="94">
                  <c:v>65.171137835337646</c:v>
                </c:pt>
                <c:pt idx="95">
                  <c:v>49.1869918699187</c:v>
                </c:pt>
                <c:pt idx="96">
                  <c:v>53.274139844617089</c:v>
                </c:pt>
                <c:pt idx="97">
                  <c:v>47.549224968579807</c:v>
                </c:pt>
                <c:pt idx="98">
                  <c:v>52.247557003257327</c:v>
                </c:pt>
                <c:pt idx="99">
                  <c:v>31.077504725897921</c:v>
                </c:pt>
                <c:pt idx="100">
                  <c:v>34.410181106216349</c:v>
                </c:pt>
                <c:pt idx="101">
                  <c:v>58.090452261306531</c:v>
                </c:pt>
                <c:pt idx="102">
                  <c:v>54.251012145748987</c:v>
                </c:pt>
                <c:pt idx="103">
                  <c:v>100</c:v>
                </c:pt>
                <c:pt idx="104">
                  <c:v>96.385542168674704</c:v>
                </c:pt>
                <c:pt idx="105">
                  <c:v>44.696539988655701</c:v>
                </c:pt>
                <c:pt idx="106">
                  <c:v>34.995296331138285</c:v>
                </c:pt>
                <c:pt idx="107">
                  <c:v>35.362694300518136</c:v>
                </c:pt>
                <c:pt idx="108">
                  <c:v>39.04</c:v>
                </c:pt>
                <c:pt idx="109">
                  <c:v>35.573122529644266</c:v>
                </c:pt>
                <c:pt idx="110">
                  <c:v>44.124423963133637</c:v>
                </c:pt>
                <c:pt idx="111">
                  <c:v>38.940448569218873</c:v>
                </c:pt>
                <c:pt idx="112">
                  <c:v>38.696701528559935</c:v>
                </c:pt>
                <c:pt idx="113">
                  <c:v>40.17918676774638</c:v>
                </c:pt>
                <c:pt idx="114">
                  <c:v>36.726039016115351</c:v>
                </c:pt>
                <c:pt idx="115">
                  <c:v>34.266958424507656</c:v>
                </c:pt>
                <c:pt idx="116">
                  <c:v>44.636471990464841</c:v>
                </c:pt>
                <c:pt idx="117">
                  <c:v>34.172839506172842</c:v>
                </c:pt>
                <c:pt idx="118">
                  <c:v>0</c:v>
                </c:pt>
                <c:pt idx="119">
                  <c:v>38.02469135802469</c:v>
                </c:pt>
                <c:pt idx="120">
                  <c:v>31.100045269352648</c:v>
                </c:pt>
                <c:pt idx="121">
                  <c:v>52.017167381974247</c:v>
                </c:pt>
                <c:pt idx="122">
                  <c:v>34.624937903626432</c:v>
                </c:pt>
                <c:pt idx="123">
                  <c:v>35.096391497775578</c:v>
                </c:pt>
                <c:pt idx="124">
                  <c:v>42.913385826771652</c:v>
                </c:pt>
                <c:pt idx="125">
                  <c:v>39.681637293916999</c:v>
                </c:pt>
                <c:pt idx="126">
                  <c:v>35.935455734845178</c:v>
                </c:pt>
                <c:pt idx="127">
                  <c:v>33.134191176470587</c:v>
                </c:pt>
                <c:pt idx="128">
                  <c:v>35.535535535535537</c:v>
                </c:pt>
                <c:pt idx="129">
                  <c:v>41.009946442234124</c:v>
                </c:pt>
                <c:pt idx="130">
                  <c:v>70.199587061252586</c:v>
                </c:pt>
                <c:pt idx="131">
                  <c:v>31.644736842105264</c:v>
                </c:pt>
                <c:pt idx="132">
                  <c:v>33.720930232558139</c:v>
                </c:pt>
                <c:pt idx="133">
                  <c:v>33.635729239357993</c:v>
                </c:pt>
                <c:pt idx="134">
                  <c:v>28.324324324324323</c:v>
                </c:pt>
                <c:pt idx="135">
                  <c:v>41.544291804831836</c:v>
                </c:pt>
                <c:pt idx="136">
                  <c:v>54.589371980676326</c:v>
                </c:pt>
                <c:pt idx="137">
                  <c:v>50.391644908616186</c:v>
                </c:pt>
                <c:pt idx="138">
                  <c:v>35.37117903930131</c:v>
                </c:pt>
                <c:pt idx="139">
                  <c:v>32.978251220594764</c:v>
                </c:pt>
                <c:pt idx="140">
                  <c:v>69.944444444444443</c:v>
                </c:pt>
                <c:pt idx="141">
                  <c:v>31.868640148011099</c:v>
                </c:pt>
                <c:pt idx="142">
                  <c:v>39.067055393586003</c:v>
                </c:pt>
                <c:pt idx="143">
                  <c:v>35.988620199146517</c:v>
                </c:pt>
                <c:pt idx="144">
                  <c:v>29.496402877697843</c:v>
                </c:pt>
                <c:pt idx="145">
                  <c:v>36.228482003129891</c:v>
                </c:pt>
                <c:pt idx="146">
                  <c:v>32.619775739041792</c:v>
                </c:pt>
                <c:pt idx="147">
                  <c:v>32.914704343275773</c:v>
                </c:pt>
                <c:pt idx="148">
                  <c:v>36.454703832752614</c:v>
                </c:pt>
                <c:pt idx="149">
                  <c:v>38.655077767612077</c:v>
                </c:pt>
                <c:pt idx="150">
                  <c:v>26.343679031037095</c:v>
                </c:pt>
                <c:pt idx="151">
                  <c:v>27.943661971830984</c:v>
                </c:pt>
                <c:pt idx="152">
                  <c:v>30.517423442449843</c:v>
                </c:pt>
                <c:pt idx="153">
                  <c:v>24.29951690821256</c:v>
                </c:pt>
                <c:pt idx="154">
                  <c:v>25.819672131147541</c:v>
                </c:pt>
                <c:pt idx="155">
                  <c:v>21.834574676597413</c:v>
                </c:pt>
                <c:pt idx="156">
                  <c:v>30.424366872005475</c:v>
                </c:pt>
                <c:pt idx="157">
                  <c:v>53.324468085106382</c:v>
                </c:pt>
                <c:pt idx="158">
                  <c:v>50.189155107187894</c:v>
                </c:pt>
                <c:pt idx="159">
                  <c:v>31.138070479491624</c:v>
                </c:pt>
                <c:pt idx="160">
                  <c:v>44.290976058931861</c:v>
                </c:pt>
                <c:pt idx="161">
                  <c:v>25.94183740912095</c:v>
                </c:pt>
                <c:pt idx="162">
                  <c:v>21.28082736674622</c:v>
                </c:pt>
                <c:pt idx="163">
                  <c:v>25.129982668977469</c:v>
                </c:pt>
                <c:pt idx="164">
                  <c:v>25.090415913200722</c:v>
                </c:pt>
                <c:pt idx="165">
                  <c:v>25.754443985117817</c:v>
                </c:pt>
                <c:pt idx="166">
                  <c:v>23.076923076923077</c:v>
                </c:pt>
                <c:pt idx="167">
                  <c:v>21.449766850360323</c:v>
                </c:pt>
                <c:pt idx="168">
                  <c:v>24.780256930358352</c:v>
                </c:pt>
                <c:pt idx="169">
                  <c:v>17.890520694259013</c:v>
                </c:pt>
                <c:pt idx="170">
                  <c:v>21.104018024784079</c:v>
                </c:pt>
                <c:pt idx="171">
                  <c:v>40.642129992169146</c:v>
                </c:pt>
                <c:pt idx="172">
                  <c:v>33.180987202925046</c:v>
                </c:pt>
                <c:pt idx="173">
                  <c:v>30.762987012987011</c:v>
                </c:pt>
                <c:pt idx="174">
                  <c:v>35.679374389051809</c:v>
                </c:pt>
                <c:pt idx="175">
                  <c:v>37.286135693215343</c:v>
                </c:pt>
                <c:pt idx="176">
                  <c:v>47.942754919499109</c:v>
                </c:pt>
                <c:pt idx="177">
                  <c:v>62.786745964316054</c:v>
                </c:pt>
                <c:pt idx="178">
                  <c:v>31.561461794019934</c:v>
                </c:pt>
                <c:pt idx="179">
                  <c:v>40.958268933539415</c:v>
                </c:pt>
                <c:pt idx="180">
                  <c:v>42.378048780487802</c:v>
                </c:pt>
                <c:pt idx="181">
                  <c:v>23.970037453183522</c:v>
                </c:pt>
              </c:numCache>
            </c:numRef>
          </c:xVal>
          <c:yVal>
            <c:numRef>
              <c:f>'Мособлдума партии'!$AL$2:$AL$183</c:f>
              <c:numCache>
                <c:formatCode>0.0</c:formatCode>
                <c:ptCount val="182"/>
                <c:pt idx="0">
                  <c:v>45.358255451713397</c:v>
                </c:pt>
                <c:pt idx="1">
                  <c:v>49.686192468619247</c:v>
                </c:pt>
                <c:pt idx="2">
                  <c:v>74.862385321100916</c:v>
                </c:pt>
                <c:pt idx="3">
                  <c:v>68.425605536332185</c:v>
                </c:pt>
                <c:pt idx="4">
                  <c:v>31.847826086956523</c:v>
                </c:pt>
                <c:pt idx="5">
                  <c:v>46.067415730337082</c:v>
                </c:pt>
                <c:pt idx="6">
                  <c:v>42.393162393162392</c:v>
                </c:pt>
                <c:pt idx="7">
                  <c:v>58.398744113029828</c:v>
                </c:pt>
                <c:pt idx="8">
                  <c:v>52.38095238095238</c:v>
                </c:pt>
                <c:pt idx="9">
                  <c:v>33.849821215733016</c:v>
                </c:pt>
                <c:pt idx="10">
                  <c:v>22.887323943661972</c:v>
                </c:pt>
                <c:pt idx="11">
                  <c:v>62.597809076682317</c:v>
                </c:pt>
                <c:pt idx="12">
                  <c:v>36.944937833037301</c:v>
                </c:pt>
                <c:pt idx="13">
                  <c:v>38.118214716525934</c:v>
                </c:pt>
                <c:pt idx="14">
                  <c:v>45.759717314487631</c:v>
                </c:pt>
                <c:pt idx="15">
                  <c:v>27.910958904109588</c:v>
                </c:pt>
                <c:pt idx="16">
                  <c:v>38.596491228070178</c:v>
                </c:pt>
                <c:pt idx="17">
                  <c:v>23.834196891191709</c:v>
                </c:pt>
                <c:pt idx="18">
                  <c:v>45.192307692307693</c:v>
                </c:pt>
                <c:pt idx="19">
                  <c:v>39.089968976215097</c:v>
                </c:pt>
                <c:pt idx="20">
                  <c:v>30.296127562642369</c:v>
                </c:pt>
                <c:pt idx="21">
                  <c:v>50.823045267489711</c:v>
                </c:pt>
                <c:pt idx="22">
                  <c:v>24.925816023738872</c:v>
                </c:pt>
                <c:pt idx="23">
                  <c:v>23.778071334214001</c:v>
                </c:pt>
                <c:pt idx="24">
                  <c:v>30.1994301994302</c:v>
                </c:pt>
                <c:pt idx="25">
                  <c:v>31.565656565656564</c:v>
                </c:pt>
                <c:pt idx="26">
                  <c:v>39.258451472191929</c:v>
                </c:pt>
                <c:pt idx="27">
                  <c:v>33.900709219858157</c:v>
                </c:pt>
                <c:pt idx="28">
                  <c:v>30.865921787709496</c:v>
                </c:pt>
                <c:pt idx="29">
                  <c:v>30.098684210526315</c:v>
                </c:pt>
                <c:pt idx="30">
                  <c:v>25.348837209302324</c:v>
                </c:pt>
                <c:pt idx="31">
                  <c:v>24.511278195488721</c:v>
                </c:pt>
                <c:pt idx="32">
                  <c:v>47.046843177189409</c:v>
                </c:pt>
                <c:pt idx="33">
                  <c:v>39.221556886227546</c:v>
                </c:pt>
                <c:pt idx="34">
                  <c:v>60.317460317460316</c:v>
                </c:pt>
                <c:pt idx="35">
                  <c:v>54.283887468030692</c:v>
                </c:pt>
                <c:pt idx="36">
                  <c:v>72.801788375558871</c:v>
                </c:pt>
                <c:pt idx="37">
                  <c:v>53.038674033149171</c:v>
                </c:pt>
                <c:pt idx="38">
                  <c:v>35.820895522388057</c:v>
                </c:pt>
                <c:pt idx="39">
                  <c:v>42.779783393501802</c:v>
                </c:pt>
                <c:pt idx="40">
                  <c:v>30.59163059163059</c:v>
                </c:pt>
                <c:pt idx="41">
                  <c:v>30.061349693251532</c:v>
                </c:pt>
                <c:pt idx="42">
                  <c:v>22.296544035674472</c:v>
                </c:pt>
                <c:pt idx="43">
                  <c:v>20.025673940949936</c:v>
                </c:pt>
                <c:pt idx="44">
                  <c:v>74.022698612862541</c:v>
                </c:pt>
                <c:pt idx="45">
                  <c:v>81.15183246073299</c:v>
                </c:pt>
                <c:pt idx="46">
                  <c:v>35.125448028673837</c:v>
                </c:pt>
                <c:pt idx="47">
                  <c:v>26.96078431372549</c:v>
                </c:pt>
                <c:pt idx="48">
                  <c:v>32.684283727399162</c:v>
                </c:pt>
                <c:pt idx="49">
                  <c:v>46.28237259816207</c:v>
                </c:pt>
                <c:pt idx="50">
                  <c:v>38.98531375166889</c:v>
                </c:pt>
                <c:pt idx="51">
                  <c:v>25.653594771241831</c:v>
                </c:pt>
                <c:pt idx="52">
                  <c:v>26.458036984352773</c:v>
                </c:pt>
                <c:pt idx="53">
                  <c:v>44.665012406947888</c:v>
                </c:pt>
                <c:pt idx="54">
                  <c:v>31.462585034013607</c:v>
                </c:pt>
                <c:pt idx="55">
                  <c:v>23.877551020408163</c:v>
                </c:pt>
                <c:pt idx="56">
                  <c:v>40.536277602523661</c:v>
                </c:pt>
                <c:pt idx="57">
                  <c:v>27.987082884822389</c:v>
                </c:pt>
                <c:pt idx="58">
                  <c:v>35.555555555555557</c:v>
                </c:pt>
                <c:pt idx="59">
                  <c:v>29.600778967867576</c:v>
                </c:pt>
                <c:pt idx="60">
                  <c:v>27.722772277227723</c:v>
                </c:pt>
                <c:pt idx="61">
                  <c:v>53.437876960193002</c:v>
                </c:pt>
                <c:pt idx="62">
                  <c:v>23.091603053435115</c:v>
                </c:pt>
                <c:pt idx="63">
                  <c:v>28.313253012048193</c:v>
                </c:pt>
                <c:pt idx="64">
                  <c:v>26.157407407407408</c:v>
                </c:pt>
                <c:pt idx="65">
                  <c:v>44.899375433726576</c:v>
                </c:pt>
                <c:pt idx="66">
                  <c:v>38.828633405639913</c:v>
                </c:pt>
                <c:pt idx="67">
                  <c:v>41.739130434782609</c:v>
                </c:pt>
                <c:pt idx="68">
                  <c:v>28.552971576227389</c:v>
                </c:pt>
                <c:pt idx="69">
                  <c:v>27.995971802618328</c:v>
                </c:pt>
                <c:pt idx="70">
                  <c:v>35.180722891566262</c:v>
                </c:pt>
                <c:pt idx="71">
                  <c:v>28.008752735229759</c:v>
                </c:pt>
                <c:pt idx="72">
                  <c:v>29.861111111111111</c:v>
                </c:pt>
                <c:pt idx="73">
                  <c:v>24.802110817941951</c:v>
                </c:pt>
                <c:pt idx="74">
                  <c:v>18.949771689497716</c:v>
                </c:pt>
                <c:pt idx="75">
                  <c:v>48.892405063291136</c:v>
                </c:pt>
                <c:pt idx="76">
                  <c:v>43.446379468377636</c:v>
                </c:pt>
                <c:pt idx="77">
                  <c:v>49.270664505672606</c:v>
                </c:pt>
                <c:pt idx="78">
                  <c:v>43.606998654104977</c:v>
                </c:pt>
                <c:pt idx="79">
                  <c:v>35.664335664335667</c:v>
                </c:pt>
                <c:pt idx="80">
                  <c:v>34.193548387096776</c:v>
                </c:pt>
                <c:pt idx="81">
                  <c:v>23.141891891891891</c:v>
                </c:pt>
                <c:pt idx="82">
                  <c:v>29.682365826944139</c:v>
                </c:pt>
                <c:pt idx="83">
                  <c:v>21.997755331088666</c:v>
                </c:pt>
                <c:pt idx="84">
                  <c:v>30.906389301634473</c:v>
                </c:pt>
                <c:pt idx="85">
                  <c:v>25.454545454545453</c:v>
                </c:pt>
                <c:pt idx="86">
                  <c:v>32.30088495575221</c:v>
                </c:pt>
                <c:pt idx="87">
                  <c:v>31.687898089171973</c:v>
                </c:pt>
                <c:pt idx="88">
                  <c:v>27.441860465116278</c:v>
                </c:pt>
                <c:pt idx="89">
                  <c:v>44.523809523809526</c:v>
                </c:pt>
                <c:pt idx="90">
                  <c:v>55.399568034557234</c:v>
                </c:pt>
                <c:pt idx="91">
                  <c:v>42.307692307692307</c:v>
                </c:pt>
                <c:pt idx="92">
                  <c:v>55.007052186177717</c:v>
                </c:pt>
                <c:pt idx="93">
                  <c:v>66.795615731785944</c:v>
                </c:pt>
                <c:pt idx="94">
                  <c:v>57.396870554765293</c:v>
                </c:pt>
                <c:pt idx="95">
                  <c:v>47.107438016528924</c:v>
                </c:pt>
                <c:pt idx="96">
                  <c:v>73.541666666666671</c:v>
                </c:pt>
                <c:pt idx="97">
                  <c:v>35.594713656387668</c:v>
                </c:pt>
                <c:pt idx="98">
                  <c:v>54.239401496259354</c:v>
                </c:pt>
                <c:pt idx="99">
                  <c:v>22.506082725060828</c:v>
                </c:pt>
                <c:pt idx="100">
                  <c:v>28.022759601706969</c:v>
                </c:pt>
                <c:pt idx="101">
                  <c:v>33.739130434782609</c:v>
                </c:pt>
                <c:pt idx="102">
                  <c:v>44.067796610169495</c:v>
                </c:pt>
                <c:pt idx="103">
                  <c:v>87.878787878787875</c:v>
                </c:pt>
                <c:pt idx="104">
                  <c:v>40</c:v>
                </c:pt>
                <c:pt idx="105">
                  <c:v>33.3756345177665</c:v>
                </c:pt>
                <c:pt idx="106">
                  <c:v>26.612903225806452</c:v>
                </c:pt>
                <c:pt idx="107">
                  <c:v>24.297924297924297</c:v>
                </c:pt>
                <c:pt idx="108">
                  <c:v>31.53526970954357</c:v>
                </c:pt>
                <c:pt idx="109">
                  <c:v>24.888888888888889</c:v>
                </c:pt>
                <c:pt idx="110">
                  <c:v>32.74695534506089</c:v>
                </c:pt>
                <c:pt idx="111">
                  <c:v>30.96234309623431</c:v>
                </c:pt>
                <c:pt idx="112">
                  <c:v>22.5</c:v>
                </c:pt>
                <c:pt idx="113">
                  <c:v>49.742710120068608</c:v>
                </c:pt>
                <c:pt idx="114">
                  <c:v>33.410672853828309</c:v>
                </c:pt>
                <c:pt idx="115">
                  <c:v>24.871794871794872</c:v>
                </c:pt>
                <c:pt idx="116">
                  <c:v>42.493297587131366</c:v>
                </c:pt>
                <c:pt idx="117">
                  <c:v>26.01156069364162</c:v>
                </c:pt>
                <c:pt idx="118">
                  <c:v>0</c:v>
                </c:pt>
                <c:pt idx="119">
                  <c:v>30.335861321776814</c:v>
                </c:pt>
                <c:pt idx="120">
                  <c:v>24.308588064046578</c:v>
                </c:pt>
                <c:pt idx="121">
                  <c:v>48.267326732673268</c:v>
                </c:pt>
                <c:pt idx="122">
                  <c:v>34.384384384384383</c:v>
                </c:pt>
                <c:pt idx="123">
                  <c:v>26.524822695035461</c:v>
                </c:pt>
                <c:pt idx="124">
                  <c:v>31.778058007566205</c:v>
                </c:pt>
                <c:pt idx="125">
                  <c:v>30.272596843615496</c:v>
                </c:pt>
                <c:pt idx="126">
                  <c:v>25.121359223300971</c:v>
                </c:pt>
                <c:pt idx="127">
                  <c:v>21.775312066574202</c:v>
                </c:pt>
                <c:pt idx="128">
                  <c:v>20.281690140845072</c:v>
                </c:pt>
                <c:pt idx="129">
                  <c:v>24.626865671641792</c:v>
                </c:pt>
                <c:pt idx="130">
                  <c:v>21.116504854368934</c:v>
                </c:pt>
                <c:pt idx="131">
                  <c:v>21.621621621621621</c:v>
                </c:pt>
                <c:pt idx="132">
                  <c:v>19.066937119675455</c:v>
                </c:pt>
                <c:pt idx="133">
                  <c:v>28.215767634854771</c:v>
                </c:pt>
                <c:pt idx="134">
                  <c:v>21.564885496183205</c:v>
                </c:pt>
                <c:pt idx="135">
                  <c:v>31.584948688711517</c:v>
                </c:pt>
                <c:pt idx="136">
                  <c:v>39.292035398230091</c:v>
                </c:pt>
                <c:pt idx="137">
                  <c:v>54.564315352697093</c:v>
                </c:pt>
                <c:pt idx="138">
                  <c:v>23.246753246753247</c:v>
                </c:pt>
                <c:pt idx="139">
                  <c:v>22.611036339165544</c:v>
                </c:pt>
                <c:pt idx="140">
                  <c:v>55.758538522637011</c:v>
                </c:pt>
                <c:pt idx="141">
                  <c:v>21.190130624092888</c:v>
                </c:pt>
                <c:pt idx="142">
                  <c:v>26.607818411097099</c:v>
                </c:pt>
                <c:pt idx="143">
                  <c:v>30.16759776536313</c:v>
                </c:pt>
                <c:pt idx="144">
                  <c:v>21.13821138211382</c:v>
                </c:pt>
                <c:pt idx="145">
                  <c:v>24.406047516198704</c:v>
                </c:pt>
                <c:pt idx="146">
                  <c:v>17.1875</c:v>
                </c:pt>
                <c:pt idx="147">
                  <c:v>25.437201907790143</c:v>
                </c:pt>
                <c:pt idx="148">
                  <c:v>29.73621103117506</c:v>
                </c:pt>
                <c:pt idx="149">
                  <c:v>33.412322274881518</c:v>
                </c:pt>
                <c:pt idx="150">
                  <c:v>26.580459770114942</c:v>
                </c:pt>
                <c:pt idx="151">
                  <c:v>22.177419354838708</c:v>
                </c:pt>
                <c:pt idx="152">
                  <c:v>24.048442906574394</c:v>
                </c:pt>
                <c:pt idx="153">
                  <c:v>23.459244532803179</c:v>
                </c:pt>
                <c:pt idx="154">
                  <c:v>20.811287477954146</c:v>
                </c:pt>
                <c:pt idx="155">
                  <c:v>23.159784560143628</c:v>
                </c:pt>
                <c:pt idx="156">
                  <c:v>14.623172103487065</c:v>
                </c:pt>
                <c:pt idx="157">
                  <c:v>55.639097744360903</c:v>
                </c:pt>
                <c:pt idx="158">
                  <c:v>36.111111111111114</c:v>
                </c:pt>
                <c:pt idx="159">
                  <c:v>28.94736842105263</c:v>
                </c:pt>
                <c:pt idx="160">
                  <c:v>57.796257796257798</c:v>
                </c:pt>
                <c:pt idx="161">
                  <c:v>21.32822477650064</c:v>
                </c:pt>
                <c:pt idx="162">
                  <c:v>23.55140186915888</c:v>
                </c:pt>
                <c:pt idx="163">
                  <c:v>21.070811744386873</c:v>
                </c:pt>
                <c:pt idx="164">
                  <c:v>23.783783783783782</c:v>
                </c:pt>
                <c:pt idx="165">
                  <c:v>24.077046548956663</c:v>
                </c:pt>
                <c:pt idx="166">
                  <c:v>28.513238289205702</c:v>
                </c:pt>
                <c:pt idx="167">
                  <c:v>24.453280318091451</c:v>
                </c:pt>
                <c:pt idx="168">
                  <c:v>23.874488403819917</c:v>
                </c:pt>
                <c:pt idx="169">
                  <c:v>24.21875</c:v>
                </c:pt>
                <c:pt idx="170">
                  <c:v>21.708185053380785</c:v>
                </c:pt>
                <c:pt idx="171">
                  <c:v>41.425818882466281</c:v>
                </c:pt>
                <c:pt idx="172">
                  <c:v>44.903581267217632</c:v>
                </c:pt>
                <c:pt idx="173">
                  <c:v>22.955145118733508</c:v>
                </c:pt>
                <c:pt idx="174">
                  <c:v>29.589041095890412</c:v>
                </c:pt>
                <c:pt idx="175">
                  <c:v>39.361702127659576</c:v>
                </c:pt>
                <c:pt idx="176">
                  <c:v>35.323383084577117</c:v>
                </c:pt>
                <c:pt idx="177">
                  <c:v>70.027063599458728</c:v>
                </c:pt>
                <c:pt idx="178">
                  <c:v>54.035087719298247</c:v>
                </c:pt>
                <c:pt idx="179">
                  <c:v>14.716981132075471</c:v>
                </c:pt>
                <c:pt idx="180">
                  <c:v>11.942446043165468</c:v>
                </c:pt>
                <c:pt idx="181">
                  <c:v>30.46875</c:v>
                </c:pt>
              </c:numCache>
            </c:numRef>
          </c:yVal>
          <c:bubbleSize>
            <c:numRef>
              <c:f>'Мособлдума партии'!$J$2:$J$183</c:f>
              <c:numCache>
                <c:formatCode>General</c:formatCode>
                <c:ptCount val="182"/>
                <c:pt idx="0">
                  <c:v>2451</c:v>
                </c:pt>
                <c:pt idx="1">
                  <c:v>1792</c:v>
                </c:pt>
                <c:pt idx="2">
                  <c:v>1987</c:v>
                </c:pt>
                <c:pt idx="3">
                  <c:v>2122</c:v>
                </c:pt>
                <c:pt idx="4">
                  <c:v>1909</c:v>
                </c:pt>
                <c:pt idx="5">
                  <c:v>1948</c:v>
                </c:pt>
                <c:pt idx="6">
                  <c:v>1966</c:v>
                </c:pt>
                <c:pt idx="7">
                  <c:v>1755</c:v>
                </c:pt>
                <c:pt idx="8">
                  <c:v>2053</c:v>
                </c:pt>
                <c:pt idx="9">
                  <c:v>2353</c:v>
                </c:pt>
                <c:pt idx="10">
                  <c:v>2236</c:v>
                </c:pt>
                <c:pt idx="11">
                  <c:v>878</c:v>
                </c:pt>
                <c:pt idx="12">
                  <c:v>1109</c:v>
                </c:pt>
                <c:pt idx="13">
                  <c:v>2346</c:v>
                </c:pt>
                <c:pt idx="14">
                  <c:v>1222</c:v>
                </c:pt>
                <c:pt idx="15">
                  <c:v>1986</c:v>
                </c:pt>
                <c:pt idx="16">
                  <c:v>391</c:v>
                </c:pt>
                <c:pt idx="17">
                  <c:v>1248</c:v>
                </c:pt>
                <c:pt idx="18">
                  <c:v>1716</c:v>
                </c:pt>
                <c:pt idx="19">
                  <c:v>2695</c:v>
                </c:pt>
                <c:pt idx="20">
                  <c:v>1800</c:v>
                </c:pt>
                <c:pt idx="21">
                  <c:v>2108</c:v>
                </c:pt>
                <c:pt idx="22">
                  <c:v>2215</c:v>
                </c:pt>
                <c:pt idx="23">
                  <c:v>2112</c:v>
                </c:pt>
                <c:pt idx="24">
                  <c:v>2268</c:v>
                </c:pt>
                <c:pt idx="25">
                  <c:v>2112</c:v>
                </c:pt>
                <c:pt idx="26">
                  <c:v>2016</c:v>
                </c:pt>
                <c:pt idx="27">
                  <c:v>2330</c:v>
                </c:pt>
                <c:pt idx="28">
                  <c:v>1867</c:v>
                </c:pt>
                <c:pt idx="29">
                  <c:v>1777</c:v>
                </c:pt>
                <c:pt idx="30">
                  <c:v>1121</c:v>
                </c:pt>
                <c:pt idx="31">
                  <c:v>2249</c:v>
                </c:pt>
                <c:pt idx="32">
                  <c:v>1262</c:v>
                </c:pt>
                <c:pt idx="33">
                  <c:v>553</c:v>
                </c:pt>
                <c:pt idx="34">
                  <c:v>932</c:v>
                </c:pt>
                <c:pt idx="35">
                  <c:v>2579</c:v>
                </c:pt>
                <c:pt idx="36">
                  <c:v>1659</c:v>
                </c:pt>
                <c:pt idx="37">
                  <c:v>1947</c:v>
                </c:pt>
                <c:pt idx="38">
                  <c:v>857</c:v>
                </c:pt>
                <c:pt idx="39">
                  <c:v>1412</c:v>
                </c:pt>
                <c:pt idx="40">
                  <c:v>2047</c:v>
                </c:pt>
                <c:pt idx="41">
                  <c:v>536</c:v>
                </c:pt>
                <c:pt idx="42">
                  <c:v>2687</c:v>
                </c:pt>
                <c:pt idx="43">
                  <c:v>2348</c:v>
                </c:pt>
                <c:pt idx="44">
                  <c:v>2383</c:v>
                </c:pt>
                <c:pt idx="45">
                  <c:v>1001</c:v>
                </c:pt>
                <c:pt idx="46">
                  <c:v>439</c:v>
                </c:pt>
                <c:pt idx="47">
                  <c:v>1596</c:v>
                </c:pt>
                <c:pt idx="48">
                  <c:v>1548</c:v>
                </c:pt>
                <c:pt idx="49">
                  <c:v>2222</c:v>
                </c:pt>
                <c:pt idx="50">
                  <c:v>1888</c:v>
                </c:pt>
                <c:pt idx="51">
                  <c:v>1665</c:v>
                </c:pt>
                <c:pt idx="52">
                  <c:v>1691</c:v>
                </c:pt>
                <c:pt idx="53">
                  <c:v>517</c:v>
                </c:pt>
                <c:pt idx="54">
                  <c:v>1745</c:v>
                </c:pt>
                <c:pt idx="55">
                  <c:v>1453</c:v>
                </c:pt>
                <c:pt idx="56">
                  <c:v>1496</c:v>
                </c:pt>
                <c:pt idx="57">
                  <c:v>2669</c:v>
                </c:pt>
                <c:pt idx="58">
                  <c:v>2799</c:v>
                </c:pt>
                <c:pt idx="59">
                  <c:v>2544</c:v>
                </c:pt>
                <c:pt idx="60">
                  <c:v>1670</c:v>
                </c:pt>
                <c:pt idx="61">
                  <c:v>1891</c:v>
                </c:pt>
                <c:pt idx="62">
                  <c:v>1984</c:v>
                </c:pt>
                <c:pt idx="63">
                  <c:v>628</c:v>
                </c:pt>
                <c:pt idx="64">
                  <c:v>1469</c:v>
                </c:pt>
                <c:pt idx="65">
                  <c:v>2564</c:v>
                </c:pt>
                <c:pt idx="66">
                  <c:v>711</c:v>
                </c:pt>
                <c:pt idx="67">
                  <c:v>676</c:v>
                </c:pt>
                <c:pt idx="68">
                  <c:v>1747</c:v>
                </c:pt>
                <c:pt idx="69">
                  <c:v>1907</c:v>
                </c:pt>
                <c:pt idx="70">
                  <c:v>1194</c:v>
                </c:pt>
                <c:pt idx="71">
                  <c:v>1129</c:v>
                </c:pt>
                <c:pt idx="72">
                  <c:v>1498</c:v>
                </c:pt>
                <c:pt idx="73">
                  <c:v>1859</c:v>
                </c:pt>
                <c:pt idx="74">
                  <c:v>1315</c:v>
                </c:pt>
                <c:pt idx="75">
                  <c:v>1300</c:v>
                </c:pt>
                <c:pt idx="76">
                  <c:v>2038</c:v>
                </c:pt>
                <c:pt idx="77">
                  <c:v>1190</c:v>
                </c:pt>
                <c:pt idx="78">
                  <c:v>1521</c:v>
                </c:pt>
                <c:pt idx="79">
                  <c:v>710</c:v>
                </c:pt>
                <c:pt idx="80">
                  <c:v>1525</c:v>
                </c:pt>
                <c:pt idx="81">
                  <c:v>1495</c:v>
                </c:pt>
                <c:pt idx="82">
                  <c:v>1808</c:v>
                </c:pt>
                <c:pt idx="83">
                  <c:v>2012</c:v>
                </c:pt>
                <c:pt idx="84">
                  <c:v>1681</c:v>
                </c:pt>
                <c:pt idx="85">
                  <c:v>1685</c:v>
                </c:pt>
                <c:pt idx="86">
                  <c:v>1529</c:v>
                </c:pt>
                <c:pt idx="87">
                  <c:v>1800</c:v>
                </c:pt>
                <c:pt idx="88">
                  <c:v>1896</c:v>
                </c:pt>
                <c:pt idx="89">
                  <c:v>1963</c:v>
                </c:pt>
                <c:pt idx="90">
                  <c:v>1902</c:v>
                </c:pt>
                <c:pt idx="91">
                  <c:v>1647</c:v>
                </c:pt>
                <c:pt idx="92">
                  <c:v>1316</c:v>
                </c:pt>
                <c:pt idx="93">
                  <c:v>2424</c:v>
                </c:pt>
                <c:pt idx="94">
                  <c:v>2162</c:v>
                </c:pt>
                <c:pt idx="95">
                  <c:v>1230</c:v>
                </c:pt>
                <c:pt idx="96">
                  <c:v>901</c:v>
                </c:pt>
                <c:pt idx="97">
                  <c:v>2387</c:v>
                </c:pt>
                <c:pt idx="98">
                  <c:v>1535</c:v>
                </c:pt>
                <c:pt idx="99">
                  <c:v>2645</c:v>
                </c:pt>
                <c:pt idx="100">
                  <c:v>2043</c:v>
                </c:pt>
                <c:pt idx="101">
                  <c:v>1990</c:v>
                </c:pt>
                <c:pt idx="102">
                  <c:v>988</c:v>
                </c:pt>
                <c:pt idx="103">
                  <c:v>132</c:v>
                </c:pt>
                <c:pt idx="104">
                  <c:v>83</c:v>
                </c:pt>
                <c:pt idx="105">
                  <c:v>1763</c:v>
                </c:pt>
                <c:pt idx="106">
                  <c:v>1063</c:v>
                </c:pt>
                <c:pt idx="107">
                  <c:v>2316</c:v>
                </c:pt>
                <c:pt idx="108">
                  <c:v>1250</c:v>
                </c:pt>
                <c:pt idx="109">
                  <c:v>1265</c:v>
                </c:pt>
                <c:pt idx="110">
                  <c:v>1736</c:v>
                </c:pt>
                <c:pt idx="111">
                  <c:v>2586</c:v>
                </c:pt>
                <c:pt idx="112">
                  <c:v>1243</c:v>
                </c:pt>
                <c:pt idx="113">
                  <c:v>1451</c:v>
                </c:pt>
                <c:pt idx="114">
                  <c:v>1179</c:v>
                </c:pt>
                <c:pt idx="115">
                  <c:v>2285</c:v>
                </c:pt>
                <c:pt idx="116">
                  <c:v>1678</c:v>
                </c:pt>
                <c:pt idx="117">
                  <c:v>2025</c:v>
                </c:pt>
                <c:pt idx="118">
                  <c:v>0</c:v>
                </c:pt>
                <c:pt idx="119">
                  <c:v>2430</c:v>
                </c:pt>
                <c:pt idx="120">
                  <c:v>2209</c:v>
                </c:pt>
                <c:pt idx="121">
                  <c:v>2330</c:v>
                </c:pt>
                <c:pt idx="122">
                  <c:v>2013</c:v>
                </c:pt>
                <c:pt idx="123">
                  <c:v>2023</c:v>
                </c:pt>
                <c:pt idx="124">
                  <c:v>2032</c:v>
                </c:pt>
                <c:pt idx="125">
                  <c:v>1759</c:v>
                </c:pt>
                <c:pt idx="126">
                  <c:v>2293</c:v>
                </c:pt>
                <c:pt idx="127">
                  <c:v>2176</c:v>
                </c:pt>
                <c:pt idx="128">
                  <c:v>1998</c:v>
                </c:pt>
                <c:pt idx="129">
                  <c:v>1307</c:v>
                </c:pt>
                <c:pt idx="130">
                  <c:v>1453</c:v>
                </c:pt>
                <c:pt idx="131">
                  <c:v>1520</c:v>
                </c:pt>
                <c:pt idx="132">
                  <c:v>1462</c:v>
                </c:pt>
                <c:pt idx="133">
                  <c:v>1433</c:v>
                </c:pt>
                <c:pt idx="134">
                  <c:v>1850</c:v>
                </c:pt>
                <c:pt idx="135">
                  <c:v>2111</c:v>
                </c:pt>
                <c:pt idx="136">
                  <c:v>1035</c:v>
                </c:pt>
                <c:pt idx="137">
                  <c:v>1915</c:v>
                </c:pt>
                <c:pt idx="138">
                  <c:v>2290</c:v>
                </c:pt>
                <c:pt idx="139">
                  <c:v>2253</c:v>
                </c:pt>
                <c:pt idx="140">
                  <c:v>1800</c:v>
                </c:pt>
                <c:pt idx="141">
                  <c:v>2162</c:v>
                </c:pt>
                <c:pt idx="142">
                  <c:v>2058</c:v>
                </c:pt>
                <c:pt idx="143">
                  <c:v>2109</c:v>
                </c:pt>
                <c:pt idx="144">
                  <c:v>1251</c:v>
                </c:pt>
                <c:pt idx="145">
                  <c:v>1278</c:v>
                </c:pt>
                <c:pt idx="146">
                  <c:v>981</c:v>
                </c:pt>
                <c:pt idx="147">
                  <c:v>1911</c:v>
                </c:pt>
                <c:pt idx="148">
                  <c:v>2296</c:v>
                </c:pt>
                <c:pt idx="149">
                  <c:v>2186</c:v>
                </c:pt>
                <c:pt idx="150">
                  <c:v>2642</c:v>
                </c:pt>
                <c:pt idx="151">
                  <c:v>1775</c:v>
                </c:pt>
                <c:pt idx="152">
                  <c:v>1894</c:v>
                </c:pt>
                <c:pt idx="153">
                  <c:v>2070</c:v>
                </c:pt>
                <c:pt idx="154">
                  <c:v>2196</c:v>
                </c:pt>
                <c:pt idx="155">
                  <c:v>2551</c:v>
                </c:pt>
                <c:pt idx="156">
                  <c:v>2922</c:v>
                </c:pt>
                <c:pt idx="157">
                  <c:v>752</c:v>
                </c:pt>
                <c:pt idx="158">
                  <c:v>793</c:v>
                </c:pt>
                <c:pt idx="159">
                  <c:v>1731</c:v>
                </c:pt>
                <c:pt idx="160">
                  <c:v>1086</c:v>
                </c:pt>
                <c:pt idx="161">
                  <c:v>3026</c:v>
                </c:pt>
                <c:pt idx="162">
                  <c:v>2514</c:v>
                </c:pt>
                <c:pt idx="163">
                  <c:v>2308</c:v>
                </c:pt>
                <c:pt idx="164">
                  <c:v>2212</c:v>
                </c:pt>
                <c:pt idx="165">
                  <c:v>2419</c:v>
                </c:pt>
                <c:pt idx="166">
                  <c:v>2132</c:v>
                </c:pt>
                <c:pt idx="167">
                  <c:v>2359</c:v>
                </c:pt>
                <c:pt idx="168">
                  <c:v>2958</c:v>
                </c:pt>
                <c:pt idx="169">
                  <c:v>749</c:v>
                </c:pt>
                <c:pt idx="170">
                  <c:v>2663</c:v>
                </c:pt>
                <c:pt idx="171">
                  <c:v>1277</c:v>
                </c:pt>
                <c:pt idx="172">
                  <c:v>1094</c:v>
                </c:pt>
                <c:pt idx="173">
                  <c:v>1232</c:v>
                </c:pt>
                <c:pt idx="174">
                  <c:v>1023</c:v>
                </c:pt>
                <c:pt idx="175">
                  <c:v>1695</c:v>
                </c:pt>
                <c:pt idx="176">
                  <c:v>1677</c:v>
                </c:pt>
                <c:pt idx="177">
                  <c:v>2354</c:v>
                </c:pt>
                <c:pt idx="178">
                  <c:v>1806</c:v>
                </c:pt>
                <c:pt idx="179">
                  <c:v>1294</c:v>
                </c:pt>
                <c:pt idx="180">
                  <c:v>1640</c:v>
                </c:pt>
                <c:pt idx="181">
                  <c:v>1068</c:v>
                </c:pt>
              </c:numCache>
            </c:numRef>
          </c:bubbleSize>
          <c:bubble3D val="0"/>
          <c:extLst>
            <c:ext xmlns:c16="http://schemas.microsoft.com/office/drawing/2014/chart" uri="{C3380CC4-5D6E-409C-BE32-E72D297353CC}">
              <c16:uniqueId val="{00000005-2D10-4E5E-9489-B18E1CFA942D}"/>
            </c:ext>
          </c:extLst>
        </c:ser>
        <c:ser>
          <c:idx val="14"/>
          <c:order val="6"/>
          <c:tx>
            <c:strRef>
              <c:f>'Мособлдума партии'!$AN$1</c:f>
              <c:strCache>
                <c:ptCount val="1"/>
                <c:pt idx="0">
                  <c:v>Экол. зеленые</c:v>
                </c:pt>
              </c:strCache>
            </c:strRef>
          </c:tx>
          <c:spPr>
            <a:solidFill>
              <a:srgbClr val="66FF99">
                <a:alpha val="49804"/>
              </a:srgbClr>
            </a:solidFill>
            <a:ln w="25400">
              <a:noFill/>
            </a:ln>
            <a:effectLst/>
          </c:spPr>
          <c:invertIfNegative val="0"/>
          <c:xVal>
            <c:numRef>
              <c:f>'Мособлдума партии'!$O$2:$O$183</c:f>
              <c:numCache>
                <c:formatCode>0.0</c:formatCode>
                <c:ptCount val="182"/>
                <c:pt idx="0">
                  <c:v>65.483476132190944</c:v>
                </c:pt>
                <c:pt idx="1">
                  <c:v>53.515625</c:v>
                </c:pt>
                <c:pt idx="2">
                  <c:v>54.8565676899849</c:v>
                </c:pt>
                <c:pt idx="3">
                  <c:v>54.665409990574929</c:v>
                </c:pt>
                <c:pt idx="4">
                  <c:v>48.402304871660554</c:v>
                </c:pt>
                <c:pt idx="5">
                  <c:v>50.359342915811091</c:v>
                </c:pt>
                <c:pt idx="6">
                  <c:v>59.511698880976603</c:v>
                </c:pt>
                <c:pt idx="7">
                  <c:v>73.105413105413106</c:v>
                </c:pt>
                <c:pt idx="8">
                  <c:v>71.602532878714072</c:v>
                </c:pt>
                <c:pt idx="9">
                  <c:v>36.124096897577559</c:v>
                </c:pt>
                <c:pt idx="10">
                  <c:v>25.402504472271914</c:v>
                </c:pt>
                <c:pt idx="11">
                  <c:v>72.779043280182236</c:v>
                </c:pt>
                <c:pt idx="12">
                  <c:v>50.76645626690712</c:v>
                </c:pt>
                <c:pt idx="13">
                  <c:v>35.336743393009378</c:v>
                </c:pt>
                <c:pt idx="14">
                  <c:v>46.317512274959086</c:v>
                </c:pt>
                <c:pt idx="15">
                  <c:v>29.405840886203425</c:v>
                </c:pt>
                <c:pt idx="16">
                  <c:v>43.734015345268546</c:v>
                </c:pt>
                <c:pt idx="17">
                  <c:v>31.410256410256409</c:v>
                </c:pt>
                <c:pt idx="18">
                  <c:v>48.484848484848484</c:v>
                </c:pt>
                <c:pt idx="19">
                  <c:v>35.881261595547308</c:v>
                </c:pt>
                <c:pt idx="20">
                  <c:v>24.388888888888889</c:v>
                </c:pt>
                <c:pt idx="21">
                  <c:v>46.110056925996204</c:v>
                </c:pt>
                <c:pt idx="22">
                  <c:v>30.428893905191874</c:v>
                </c:pt>
                <c:pt idx="23">
                  <c:v>35.842803030303031</c:v>
                </c:pt>
                <c:pt idx="24">
                  <c:v>30.996472663139329</c:v>
                </c:pt>
                <c:pt idx="25">
                  <c:v>37.5</c:v>
                </c:pt>
                <c:pt idx="26">
                  <c:v>45.486111111111114</c:v>
                </c:pt>
                <c:pt idx="27">
                  <c:v>30.472103004291846</c:v>
                </c:pt>
                <c:pt idx="28">
                  <c:v>38.564542046063202</c:v>
                </c:pt>
                <c:pt idx="29">
                  <c:v>34.21496904895892</c:v>
                </c:pt>
                <c:pt idx="30">
                  <c:v>38.358608385370204</c:v>
                </c:pt>
                <c:pt idx="31">
                  <c:v>29.568697198755004</c:v>
                </c:pt>
                <c:pt idx="32">
                  <c:v>38.906497622820922</c:v>
                </c:pt>
                <c:pt idx="33">
                  <c:v>60.397830018083184</c:v>
                </c:pt>
                <c:pt idx="34">
                  <c:v>40.557939914163093</c:v>
                </c:pt>
                <c:pt idx="35">
                  <c:v>60.643660333462584</c:v>
                </c:pt>
                <c:pt idx="36">
                  <c:v>80.892103676913806</c:v>
                </c:pt>
                <c:pt idx="37">
                  <c:v>37.185413456599896</c:v>
                </c:pt>
                <c:pt idx="38">
                  <c:v>39.089848308051344</c:v>
                </c:pt>
                <c:pt idx="39">
                  <c:v>39.518413597733712</c:v>
                </c:pt>
                <c:pt idx="40">
                  <c:v>34.831460674157306</c:v>
                </c:pt>
                <c:pt idx="41">
                  <c:v>30.410447761194028</c:v>
                </c:pt>
                <c:pt idx="42">
                  <c:v>33.382954968366207</c:v>
                </c:pt>
                <c:pt idx="43">
                  <c:v>33.17717206132879</c:v>
                </c:pt>
                <c:pt idx="44">
                  <c:v>66.638690725975664</c:v>
                </c:pt>
                <c:pt idx="45">
                  <c:v>76.323676323676324</c:v>
                </c:pt>
                <c:pt idx="46">
                  <c:v>63.553530751708429</c:v>
                </c:pt>
                <c:pt idx="47">
                  <c:v>38.345864661654133</c:v>
                </c:pt>
                <c:pt idx="48">
                  <c:v>46.447028423772608</c:v>
                </c:pt>
                <c:pt idx="49">
                  <c:v>54.770477047704773</c:v>
                </c:pt>
                <c:pt idx="50">
                  <c:v>39.671610169491522</c:v>
                </c:pt>
                <c:pt idx="51">
                  <c:v>36.756756756756758</c:v>
                </c:pt>
                <c:pt idx="52">
                  <c:v>41.573033707865171</c:v>
                </c:pt>
                <c:pt idx="53">
                  <c:v>77.949709864603477</c:v>
                </c:pt>
                <c:pt idx="54">
                  <c:v>33.753581661891118</c:v>
                </c:pt>
                <c:pt idx="55">
                  <c:v>33.72333103922918</c:v>
                </c:pt>
                <c:pt idx="56">
                  <c:v>42.37967914438503</c:v>
                </c:pt>
                <c:pt idx="57">
                  <c:v>34.80704383664294</c:v>
                </c:pt>
                <c:pt idx="58">
                  <c:v>27.331189710610932</c:v>
                </c:pt>
                <c:pt idx="59">
                  <c:v>40.369496855345915</c:v>
                </c:pt>
                <c:pt idx="60">
                  <c:v>36.407185628742518</c:v>
                </c:pt>
                <c:pt idx="61">
                  <c:v>43.839238498149129</c:v>
                </c:pt>
                <c:pt idx="62">
                  <c:v>26.411290322580644</c:v>
                </c:pt>
                <c:pt idx="63">
                  <c:v>26.433121019108281</c:v>
                </c:pt>
                <c:pt idx="64">
                  <c:v>29.407760381211709</c:v>
                </c:pt>
                <c:pt idx="65">
                  <c:v>56.201248049922</c:v>
                </c:pt>
                <c:pt idx="66">
                  <c:v>64.838255977496488</c:v>
                </c:pt>
                <c:pt idx="67">
                  <c:v>51.035502958579883</c:v>
                </c:pt>
                <c:pt idx="68">
                  <c:v>44.304522037779051</c:v>
                </c:pt>
                <c:pt idx="69">
                  <c:v>52.071316203460931</c:v>
                </c:pt>
                <c:pt idx="70">
                  <c:v>34.757118927973202</c:v>
                </c:pt>
                <c:pt idx="71">
                  <c:v>40.566873339238263</c:v>
                </c:pt>
                <c:pt idx="72">
                  <c:v>38.851802403204275</c:v>
                </c:pt>
                <c:pt idx="73">
                  <c:v>20.387305002689619</c:v>
                </c:pt>
                <c:pt idx="74">
                  <c:v>33.460076045627375</c:v>
                </c:pt>
                <c:pt idx="75">
                  <c:v>48.615384615384613</c:v>
                </c:pt>
                <c:pt idx="76">
                  <c:v>53.680078508341509</c:v>
                </c:pt>
                <c:pt idx="77">
                  <c:v>64.369747899159663</c:v>
                </c:pt>
                <c:pt idx="78">
                  <c:v>48.849441157133462</c:v>
                </c:pt>
                <c:pt idx="79">
                  <c:v>40.281690140845072</c:v>
                </c:pt>
                <c:pt idx="80">
                  <c:v>50.819672131147541</c:v>
                </c:pt>
                <c:pt idx="81">
                  <c:v>39.598662207357862</c:v>
                </c:pt>
                <c:pt idx="82">
                  <c:v>50.497787610619469</c:v>
                </c:pt>
                <c:pt idx="83">
                  <c:v>44.284294234592444</c:v>
                </c:pt>
                <c:pt idx="84">
                  <c:v>40.035693039857229</c:v>
                </c:pt>
                <c:pt idx="85">
                  <c:v>39.169139465875368</c:v>
                </c:pt>
                <c:pt idx="86">
                  <c:v>44.34270765206017</c:v>
                </c:pt>
                <c:pt idx="87">
                  <c:v>34.888888888888886</c:v>
                </c:pt>
                <c:pt idx="88">
                  <c:v>36.497890295358651</c:v>
                </c:pt>
                <c:pt idx="89">
                  <c:v>42.791645440652061</c:v>
                </c:pt>
                <c:pt idx="90">
                  <c:v>48.685594111461619</c:v>
                </c:pt>
                <c:pt idx="91">
                  <c:v>50.516089860352153</c:v>
                </c:pt>
                <c:pt idx="92">
                  <c:v>53.875379939209729</c:v>
                </c:pt>
                <c:pt idx="93">
                  <c:v>63.985148514851488</c:v>
                </c:pt>
                <c:pt idx="94">
                  <c:v>65.171137835337646</c:v>
                </c:pt>
                <c:pt idx="95">
                  <c:v>49.1869918699187</c:v>
                </c:pt>
                <c:pt idx="96">
                  <c:v>53.274139844617089</c:v>
                </c:pt>
                <c:pt idx="97">
                  <c:v>47.549224968579807</c:v>
                </c:pt>
                <c:pt idx="98">
                  <c:v>52.247557003257327</c:v>
                </c:pt>
                <c:pt idx="99">
                  <c:v>31.077504725897921</c:v>
                </c:pt>
                <c:pt idx="100">
                  <c:v>34.410181106216349</c:v>
                </c:pt>
                <c:pt idx="101">
                  <c:v>58.090452261306531</c:v>
                </c:pt>
                <c:pt idx="102">
                  <c:v>54.251012145748987</c:v>
                </c:pt>
                <c:pt idx="103">
                  <c:v>100</c:v>
                </c:pt>
                <c:pt idx="104">
                  <c:v>96.385542168674704</c:v>
                </c:pt>
                <c:pt idx="105">
                  <c:v>44.696539988655701</c:v>
                </c:pt>
                <c:pt idx="106">
                  <c:v>34.995296331138285</c:v>
                </c:pt>
                <c:pt idx="107">
                  <c:v>35.362694300518136</c:v>
                </c:pt>
                <c:pt idx="108">
                  <c:v>39.04</c:v>
                </c:pt>
                <c:pt idx="109">
                  <c:v>35.573122529644266</c:v>
                </c:pt>
                <c:pt idx="110">
                  <c:v>44.124423963133637</c:v>
                </c:pt>
                <c:pt idx="111">
                  <c:v>38.940448569218873</c:v>
                </c:pt>
                <c:pt idx="112">
                  <c:v>38.696701528559935</c:v>
                </c:pt>
                <c:pt idx="113">
                  <c:v>40.17918676774638</c:v>
                </c:pt>
                <c:pt idx="114">
                  <c:v>36.726039016115351</c:v>
                </c:pt>
                <c:pt idx="115">
                  <c:v>34.266958424507656</c:v>
                </c:pt>
                <c:pt idx="116">
                  <c:v>44.636471990464841</c:v>
                </c:pt>
                <c:pt idx="117">
                  <c:v>34.172839506172842</c:v>
                </c:pt>
                <c:pt idx="118">
                  <c:v>0</c:v>
                </c:pt>
                <c:pt idx="119">
                  <c:v>38.02469135802469</c:v>
                </c:pt>
                <c:pt idx="120">
                  <c:v>31.100045269352648</c:v>
                </c:pt>
                <c:pt idx="121">
                  <c:v>52.017167381974247</c:v>
                </c:pt>
                <c:pt idx="122">
                  <c:v>34.624937903626432</c:v>
                </c:pt>
                <c:pt idx="123">
                  <c:v>35.096391497775578</c:v>
                </c:pt>
                <c:pt idx="124">
                  <c:v>42.913385826771652</c:v>
                </c:pt>
                <c:pt idx="125">
                  <c:v>39.681637293916999</c:v>
                </c:pt>
                <c:pt idx="126">
                  <c:v>35.935455734845178</c:v>
                </c:pt>
                <c:pt idx="127">
                  <c:v>33.134191176470587</c:v>
                </c:pt>
                <c:pt idx="128">
                  <c:v>35.535535535535537</c:v>
                </c:pt>
                <c:pt idx="129">
                  <c:v>41.009946442234124</c:v>
                </c:pt>
                <c:pt idx="130">
                  <c:v>70.199587061252586</c:v>
                </c:pt>
                <c:pt idx="131">
                  <c:v>31.644736842105264</c:v>
                </c:pt>
                <c:pt idx="132">
                  <c:v>33.720930232558139</c:v>
                </c:pt>
                <c:pt idx="133">
                  <c:v>33.635729239357993</c:v>
                </c:pt>
                <c:pt idx="134">
                  <c:v>28.324324324324323</c:v>
                </c:pt>
                <c:pt idx="135">
                  <c:v>41.544291804831836</c:v>
                </c:pt>
                <c:pt idx="136">
                  <c:v>54.589371980676326</c:v>
                </c:pt>
                <c:pt idx="137">
                  <c:v>50.391644908616186</c:v>
                </c:pt>
                <c:pt idx="138">
                  <c:v>35.37117903930131</c:v>
                </c:pt>
                <c:pt idx="139">
                  <c:v>32.978251220594764</c:v>
                </c:pt>
                <c:pt idx="140">
                  <c:v>69.944444444444443</c:v>
                </c:pt>
                <c:pt idx="141">
                  <c:v>31.868640148011099</c:v>
                </c:pt>
                <c:pt idx="142">
                  <c:v>39.067055393586003</c:v>
                </c:pt>
                <c:pt idx="143">
                  <c:v>35.988620199146517</c:v>
                </c:pt>
                <c:pt idx="144">
                  <c:v>29.496402877697843</c:v>
                </c:pt>
                <c:pt idx="145">
                  <c:v>36.228482003129891</c:v>
                </c:pt>
                <c:pt idx="146">
                  <c:v>32.619775739041792</c:v>
                </c:pt>
                <c:pt idx="147">
                  <c:v>32.914704343275773</c:v>
                </c:pt>
                <c:pt idx="148">
                  <c:v>36.454703832752614</c:v>
                </c:pt>
                <c:pt idx="149">
                  <c:v>38.655077767612077</c:v>
                </c:pt>
                <c:pt idx="150">
                  <c:v>26.343679031037095</c:v>
                </c:pt>
                <c:pt idx="151">
                  <c:v>27.943661971830984</c:v>
                </c:pt>
                <c:pt idx="152">
                  <c:v>30.517423442449843</c:v>
                </c:pt>
                <c:pt idx="153">
                  <c:v>24.29951690821256</c:v>
                </c:pt>
                <c:pt idx="154">
                  <c:v>25.819672131147541</c:v>
                </c:pt>
                <c:pt idx="155">
                  <c:v>21.834574676597413</c:v>
                </c:pt>
                <c:pt idx="156">
                  <c:v>30.424366872005475</c:v>
                </c:pt>
                <c:pt idx="157">
                  <c:v>53.324468085106382</c:v>
                </c:pt>
                <c:pt idx="158">
                  <c:v>50.189155107187894</c:v>
                </c:pt>
                <c:pt idx="159">
                  <c:v>31.138070479491624</c:v>
                </c:pt>
                <c:pt idx="160">
                  <c:v>44.290976058931861</c:v>
                </c:pt>
                <c:pt idx="161">
                  <c:v>25.94183740912095</c:v>
                </c:pt>
                <c:pt idx="162">
                  <c:v>21.28082736674622</c:v>
                </c:pt>
                <c:pt idx="163">
                  <c:v>25.129982668977469</c:v>
                </c:pt>
                <c:pt idx="164">
                  <c:v>25.090415913200722</c:v>
                </c:pt>
                <c:pt idx="165">
                  <c:v>25.754443985117817</c:v>
                </c:pt>
                <c:pt idx="166">
                  <c:v>23.076923076923077</c:v>
                </c:pt>
                <c:pt idx="167">
                  <c:v>21.449766850360323</c:v>
                </c:pt>
                <c:pt idx="168">
                  <c:v>24.780256930358352</c:v>
                </c:pt>
                <c:pt idx="169">
                  <c:v>17.890520694259013</c:v>
                </c:pt>
                <c:pt idx="170">
                  <c:v>21.104018024784079</c:v>
                </c:pt>
                <c:pt idx="171">
                  <c:v>40.642129992169146</c:v>
                </c:pt>
                <c:pt idx="172">
                  <c:v>33.180987202925046</c:v>
                </c:pt>
                <c:pt idx="173">
                  <c:v>30.762987012987011</c:v>
                </c:pt>
                <c:pt idx="174">
                  <c:v>35.679374389051809</c:v>
                </c:pt>
                <c:pt idx="175">
                  <c:v>37.286135693215343</c:v>
                </c:pt>
                <c:pt idx="176">
                  <c:v>47.942754919499109</c:v>
                </c:pt>
                <c:pt idx="177">
                  <c:v>62.786745964316054</c:v>
                </c:pt>
                <c:pt idx="178">
                  <c:v>31.561461794019934</c:v>
                </c:pt>
                <c:pt idx="179">
                  <c:v>40.958268933539415</c:v>
                </c:pt>
                <c:pt idx="180">
                  <c:v>42.378048780487802</c:v>
                </c:pt>
                <c:pt idx="181">
                  <c:v>23.970037453183522</c:v>
                </c:pt>
              </c:numCache>
            </c:numRef>
          </c:xVal>
          <c:yVal>
            <c:numRef>
              <c:f>'Мособлдума партии'!$AN$2:$AN$183</c:f>
              <c:numCache>
                <c:formatCode>0.0</c:formatCode>
                <c:ptCount val="182"/>
                <c:pt idx="0">
                  <c:v>3.1152647975077881</c:v>
                </c:pt>
                <c:pt idx="1">
                  <c:v>2.0920502092050208</c:v>
                </c:pt>
                <c:pt idx="2">
                  <c:v>1.2844036697247707</c:v>
                </c:pt>
                <c:pt idx="3">
                  <c:v>0.25951557093425603</c:v>
                </c:pt>
                <c:pt idx="4">
                  <c:v>3.3695652173913042</c:v>
                </c:pt>
                <c:pt idx="5">
                  <c:v>1.5321756894790604</c:v>
                </c:pt>
                <c:pt idx="6">
                  <c:v>2.3076923076923075</c:v>
                </c:pt>
                <c:pt idx="7">
                  <c:v>1.805337519623234</c:v>
                </c:pt>
                <c:pt idx="8">
                  <c:v>1.9727891156462585</c:v>
                </c:pt>
                <c:pt idx="9">
                  <c:v>2.7413587604290823</c:v>
                </c:pt>
                <c:pt idx="10">
                  <c:v>3.3450704225352115</c:v>
                </c:pt>
                <c:pt idx="11">
                  <c:v>1.0954616588419406</c:v>
                </c:pt>
                <c:pt idx="12">
                  <c:v>3.197158081705151</c:v>
                </c:pt>
                <c:pt idx="13">
                  <c:v>1.5681544028950543</c:v>
                </c:pt>
                <c:pt idx="14">
                  <c:v>2.2968197879858656</c:v>
                </c:pt>
                <c:pt idx="15">
                  <c:v>3.4246575342465753</c:v>
                </c:pt>
                <c:pt idx="16">
                  <c:v>2.9239766081871346</c:v>
                </c:pt>
                <c:pt idx="17">
                  <c:v>3.1088082901554404</c:v>
                </c:pt>
                <c:pt idx="18">
                  <c:v>0.60096153846153844</c:v>
                </c:pt>
                <c:pt idx="19">
                  <c:v>3.2057911065149947</c:v>
                </c:pt>
                <c:pt idx="20">
                  <c:v>2.7334851936218678</c:v>
                </c:pt>
                <c:pt idx="21">
                  <c:v>2.263374485596708</c:v>
                </c:pt>
                <c:pt idx="22">
                  <c:v>3.1157270029673589</c:v>
                </c:pt>
                <c:pt idx="23">
                  <c:v>3.1704095112285335</c:v>
                </c:pt>
                <c:pt idx="24">
                  <c:v>3.133903133903134</c:v>
                </c:pt>
                <c:pt idx="25">
                  <c:v>2.3989898989898988</c:v>
                </c:pt>
                <c:pt idx="26">
                  <c:v>1.5267175572519085</c:v>
                </c:pt>
                <c:pt idx="27">
                  <c:v>2.1276595744680851</c:v>
                </c:pt>
                <c:pt idx="28">
                  <c:v>2.2346368715083798</c:v>
                </c:pt>
                <c:pt idx="29">
                  <c:v>1.6447368421052631</c:v>
                </c:pt>
                <c:pt idx="30">
                  <c:v>2.0930232558139537</c:v>
                </c:pt>
                <c:pt idx="31">
                  <c:v>2.7067669172932329</c:v>
                </c:pt>
                <c:pt idx="32">
                  <c:v>1.4256619144602851</c:v>
                </c:pt>
                <c:pt idx="33">
                  <c:v>1.4970059880239521</c:v>
                </c:pt>
                <c:pt idx="34">
                  <c:v>0.79365079365079361</c:v>
                </c:pt>
                <c:pt idx="35">
                  <c:v>1.5345268542199488</c:v>
                </c:pt>
                <c:pt idx="36">
                  <c:v>1.4157973174366616</c:v>
                </c:pt>
                <c:pt idx="37">
                  <c:v>0.4143646408839779</c:v>
                </c:pt>
                <c:pt idx="38">
                  <c:v>2.6865671641791047</c:v>
                </c:pt>
                <c:pt idx="39">
                  <c:v>2.1660649819494586</c:v>
                </c:pt>
                <c:pt idx="40">
                  <c:v>3.1746031746031744</c:v>
                </c:pt>
                <c:pt idx="41">
                  <c:v>3.0674846625766872</c:v>
                </c:pt>
                <c:pt idx="42">
                  <c:v>2.229654403567447</c:v>
                </c:pt>
                <c:pt idx="43">
                  <c:v>2.6957637997432604</c:v>
                </c:pt>
                <c:pt idx="44">
                  <c:v>0.75662042875157631</c:v>
                </c:pt>
                <c:pt idx="45">
                  <c:v>0.78534031413612571</c:v>
                </c:pt>
                <c:pt idx="46">
                  <c:v>0.71684587813620071</c:v>
                </c:pt>
                <c:pt idx="47">
                  <c:v>2.6143790849673203</c:v>
                </c:pt>
                <c:pt idx="48">
                  <c:v>2.364394993045897</c:v>
                </c:pt>
                <c:pt idx="49">
                  <c:v>1.1695906432748537</c:v>
                </c:pt>
                <c:pt idx="50">
                  <c:v>1.4686248331108145</c:v>
                </c:pt>
                <c:pt idx="51">
                  <c:v>2.2875816993464051</c:v>
                </c:pt>
                <c:pt idx="52">
                  <c:v>1.7069701280227596</c:v>
                </c:pt>
                <c:pt idx="53">
                  <c:v>0.74441687344913154</c:v>
                </c:pt>
                <c:pt idx="54">
                  <c:v>3.0612244897959182</c:v>
                </c:pt>
                <c:pt idx="55">
                  <c:v>4.2857142857142856</c:v>
                </c:pt>
                <c:pt idx="56">
                  <c:v>4.8895899053627758</c:v>
                </c:pt>
                <c:pt idx="57">
                  <c:v>3.6598493003229278</c:v>
                </c:pt>
                <c:pt idx="58">
                  <c:v>3.2679738562091503</c:v>
                </c:pt>
                <c:pt idx="59">
                  <c:v>1.6553067185978578</c:v>
                </c:pt>
                <c:pt idx="60">
                  <c:v>3.7953795379537953</c:v>
                </c:pt>
                <c:pt idx="61">
                  <c:v>3.0156815440289506</c:v>
                </c:pt>
                <c:pt idx="62">
                  <c:v>3.8167938931297711</c:v>
                </c:pt>
                <c:pt idx="63">
                  <c:v>2.4096385542168677</c:v>
                </c:pt>
                <c:pt idx="64">
                  <c:v>1.8518518518518519</c:v>
                </c:pt>
                <c:pt idx="65">
                  <c:v>1.5267175572519085</c:v>
                </c:pt>
                <c:pt idx="66">
                  <c:v>3.0368763557483729</c:v>
                </c:pt>
                <c:pt idx="67">
                  <c:v>5.2173913043478262</c:v>
                </c:pt>
                <c:pt idx="68">
                  <c:v>1.1627906976744187</c:v>
                </c:pt>
                <c:pt idx="69">
                  <c:v>2.6183282980866061</c:v>
                </c:pt>
                <c:pt idx="70">
                  <c:v>2.1686746987951806</c:v>
                </c:pt>
                <c:pt idx="71">
                  <c:v>1.7505470459518599</c:v>
                </c:pt>
                <c:pt idx="72">
                  <c:v>1.9097222222222223</c:v>
                </c:pt>
                <c:pt idx="73">
                  <c:v>3.4300791556728232</c:v>
                </c:pt>
                <c:pt idx="74">
                  <c:v>2.7397260273972601</c:v>
                </c:pt>
                <c:pt idx="75">
                  <c:v>2.5316455696202533</c:v>
                </c:pt>
                <c:pt idx="76">
                  <c:v>1.8331805682859761</c:v>
                </c:pt>
                <c:pt idx="77">
                  <c:v>1.6207455429497568</c:v>
                </c:pt>
                <c:pt idx="78">
                  <c:v>1.4804845222072678</c:v>
                </c:pt>
                <c:pt idx="79">
                  <c:v>3.8461538461538463</c:v>
                </c:pt>
                <c:pt idx="80">
                  <c:v>2.064516129032258</c:v>
                </c:pt>
                <c:pt idx="81">
                  <c:v>1.0135135135135136</c:v>
                </c:pt>
                <c:pt idx="82">
                  <c:v>3.6144578313253013</c:v>
                </c:pt>
                <c:pt idx="83">
                  <c:v>2.3569023569023568</c:v>
                </c:pt>
                <c:pt idx="84">
                  <c:v>3.7147102526002973</c:v>
                </c:pt>
                <c:pt idx="85">
                  <c:v>3.1818181818181817</c:v>
                </c:pt>
                <c:pt idx="86">
                  <c:v>2.8023598820058999</c:v>
                </c:pt>
                <c:pt idx="87">
                  <c:v>1.7515923566878981</c:v>
                </c:pt>
                <c:pt idx="88">
                  <c:v>2.945736434108527</c:v>
                </c:pt>
                <c:pt idx="89">
                  <c:v>1.7857142857142858</c:v>
                </c:pt>
                <c:pt idx="90">
                  <c:v>1.5118790496760259</c:v>
                </c:pt>
                <c:pt idx="91">
                  <c:v>2.0432692307692308</c:v>
                </c:pt>
                <c:pt idx="92">
                  <c:v>1.5514809590973202</c:v>
                </c:pt>
                <c:pt idx="93">
                  <c:v>0.83816892327530623</c:v>
                </c:pt>
                <c:pt idx="94">
                  <c:v>3.3428165007112374</c:v>
                </c:pt>
                <c:pt idx="95">
                  <c:v>0.82644628099173556</c:v>
                </c:pt>
                <c:pt idx="96">
                  <c:v>0</c:v>
                </c:pt>
                <c:pt idx="97">
                  <c:v>1.5859030837004404</c:v>
                </c:pt>
                <c:pt idx="98">
                  <c:v>1.1221945137157108</c:v>
                </c:pt>
                <c:pt idx="99">
                  <c:v>3.7712895377128954</c:v>
                </c:pt>
                <c:pt idx="100">
                  <c:v>3.4139402560455192</c:v>
                </c:pt>
                <c:pt idx="101">
                  <c:v>1.826086956521739</c:v>
                </c:pt>
                <c:pt idx="102">
                  <c:v>2.2598870056497176</c:v>
                </c:pt>
                <c:pt idx="103">
                  <c:v>0.75757575757575757</c:v>
                </c:pt>
                <c:pt idx="104">
                  <c:v>2.5</c:v>
                </c:pt>
                <c:pt idx="105">
                  <c:v>2.6649746192893402</c:v>
                </c:pt>
                <c:pt idx="106">
                  <c:v>1.3440860215053763</c:v>
                </c:pt>
                <c:pt idx="107">
                  <c:v>3.1746031746031744</c:v>
                </c:pt>
                <c:pt idx="108">
                  <c:v>2.4896265560165975</c:v>
                </c:pt>
                <c:pt idx="109">
                  <c:v>3.3333333333333335</c:v>
                </c:pt>
                <c:pt idx="110">
                  <c:v>2.8416779431664412</c:v>
                </c:pt>
                <c:pt idx="111">
                  <c:v>2.9288702928870292</c:v>
                </c:pt>
                <c:pt idx="112">
                  <c:v>2.9166666666666665</c:v>
                </c:pt>
                <c:pt idx="113">
                  <c:v>1.8867924528301887</c:v>
                </c:pt>
                <c:pt idx="114">
                  <c:v>3.2482598607888633</c:v>
                </c:pt>
                <c:pt idx="115">
                  <c:v>2.3076923076923075</c:v>
                </c:pt>
                <c:pt idx="116">
                  <c:v>2.2788203753351208</c:v>
                </c:pt>
                <c:pt idx="117">
                  <c:v>3.1791907514450868</c:v>
                </c:pt>
                <c:pt idx="118">
                  <c:v>0</c:v>
                </c:pt>
                <c:pt idx="119">
                  <c:v>3.0335861321776814</c:v>
                </c:pt>
                <c:pt idx="120">
                  <c:v>2.7656477438136826</c:v>
                </c:pt>
                <c:pt idx="121">
                  <c:v>1.6501650165016502</c:v>
                </c:pt>
                <c:pt idx="122">
                  <c:v>1.6516516516516517</c:v>
                </c:pt>
                <c:pt idx="123">
                  <c:v>2.8368794326241136</c:v>
                </c:pt>
                <c:pt idx="124">
                  <c:v>1.8915510718789408</c:v>
                </c:pt>
                <c:pt idx="125">
                  <c:v>2.5824964131994261</c:v>
                </c:pt>
                <c:pt idx="126">
                  <c:v>4.3689320388349513</c:v>
                </c:pt>
                <c:pt idx="127">
                  <c:v>2.496532593619972</c:v>
                </c:pt>
                <c:pt idx="128">
                  <c:v>2.535211267605634</c:v>
                </c:pt>
                <c:pt idx="129">
                  <c:v>2.7985074626865671</c:v>
                </c:pt>
                <c:pt idx="130">
                  <c:v>3.6407766990291264</c:v>
                </c:pt>
                <c:pt idx="131">
                  <c:v>3.3264033264033266</c:v>
                </c:pt>
                <c:pt idx="132">
                  <c:v>3.4482758620689653</c:v>
                </c:pt>
                <c:pt idx="133">
                  <c:v>3.3195020746887969</c:v>
                </c:pt>
                <c:pt idx="134">
                  <c:v>2.6717557251908395</c:v>
                </c:pt>
                <c:pt idx="135">
                  <c:v>3.1927023945267958</c:v>
                </c:pt>
                <c:pt idx="136">
                  <c:v>2.6548672566371683</c:v>
                </c:pt>
                <c:pt idx="137">
                  <c:v>1.2448132780082988</c:v>
                </c:pt>
                <c:pt idx="138">
                  <c:v>4.2857142857142856</c:v>
                </c:pt>
                <c:pt idx="139">
                  <c:v>3.4993270524899058</c:v>
                </c:pt>
                <c:pt idx="140">
                  <c:v>0.31771247021445592</c:v>
                </c:pt>
                <c:pt idx="141">
                  <c:v>3.3381712626995648</c:v>
                </c:pt>
                <c:pt idx="142">
                  <c:v>1.5132408575031526</c:v>
                </c:pt>
                <c:pt idx="143">
                  <c:v>2.5139664804469275</c:v>
                </c:pt>
                <c:pt idx="144">
                  <c:v>2.168021680216802</c:v>
                </c:pt>
                <c:pt idx="145">
                  <c:v>3.6717062634989199</c:v>
                </c:pt>
                <c:pt idx="146">
                  <c:v>2.8125</c:v>
                </c:pt>
                <c:pt idx="147">
                  <c:v>3.3386327503974562</c:v>
                </c:pt>
                <c:pt idx="148">
                  <c:v>2.9976019184652278</c:v>
                </c:pt>
                <c:pt idx="149">
                  <c:v>3.4360189573459716</c:v>
                </c:pt>
                <c:pt idx="150">
                  <c:v>3.0172413793103448</c:v>
                </c:pt>
                <c:pt idx="151">
                  <c:v>4.032258064516129</c:v>
                </c:pt>
                <c:pt idx="152">
                  <c:v>4.6712802768166091</c:v>
                </c:pt>
                <c:pt idx="153">
                  <c:v>3.7773359840954273</c:v>
                </c:pt>
                <c:pt idx="154">
                  <c:v>3.1746031746031744</c:v>
                </c:pt>
                <c:pt idx="155">
                  <c:v>3.0520646319569122</c:v>
                </c:pt>
                <c:pt idx="156">
                  <c:v>3.0371203599550056</c:v>
                </c:pt>
                <c:pt idx="157">
                  <c:v>1.2531328320802004</c:v>
                </c:pt>
                <c:pt idx="158">
                  <c:v>3.8888888888888888</c:v>
                </c:pt>
                <c:pt idx="159">
                  <c:v>1.6917293233082706</c:v>
                </c:pt>
                <c:pt idx="160">
                  <c:v>1.2474012474012475</c:v>
                </c:pt>
                <c:pt idx="161">
                  <c:v>5.6194125159642399</c:v>
                </c:pt>
                <c:pt idx="162">
                  <c:v>5.4205607476635516</c:v>
                </c:pt>
                <c:pt idx="163">
                  <c:v>4.3177892918825558</c:v>
                </c:pt>
                <c:pt idx="164">
                  <c:v>3.7837837837837838</c:v>
                </c:pt>
                <c:pt idx="165">
                  <c:v>4.4943820224719104</c:v>
                </c:pt>
                <c:pt idx="166">
                  <c:v>4.6843177189409371</c:v>
                </c:pt>
                <c:pt idx="167">
                  <c:v>3.1809145129224654</c:v>
                </c:pt>
                <c:pt idx="168">
                  <c:v>2.8649386084583903</c:v>
                </c:pt>
                <c:pt idx="169">
                  <c:v>3.90625</c:v>
                </c:pt>
                <c:pt idx="170">
                  <c:v>3.9145907473309607</c:v>
                </c:pt>
                <c:pt idx="171">
                  <c:v>2.5048169556840079</c:v>
                </c:pt>
                <c:pt idx="172">
                  <c:v>4.6831955922865012</c:v>
                </c:pt>
                <c:pt idx="173">
                  <c:v>3.1662269129287597</c:v>
                </c:pt>
                <c:pt idx="174">
                  <c:v>7.397260273972603</c:v>
                </c:pt>
                <c:pt idx="175">
                  <c:v>3.1914893617021276</c:v>
                </c:pt>
                <c:pt idx="176">
                  <c:v>3.1094527363184081</c:v>
                </c:pt>
                <c:pt idx="177">
                  <c:v>1.0148849797023005</c:v>
                </c:pt>
                <c:pt idx="178">
                  <c:v>2.2807017543859649</c:v>
                </c:pt>
                <c:pt idx="179">
                  <c:v>3.2075471698113209</c:v>
                </c:pt>
                <c:pt idx="180">
                  <c:v>1.7266187050359711</c:v>
                </c:pt>
                <c:pt idx="181">
                  <c:v>2.34375</c:v>
                </c:pt>
              </c:numCache>
            </c:numRef>
          </c:yVal>
          <c:bubbleSize>
            <c:numRef>
              <c:f>'Мособлдума партии'!$J$2:$J$183</c:f>
              <c:numCache>
                <c:formatCode>General</c:formatCode>
                <c:ptCount val="182"/>
                <c:pt idx="0">
                  <c:v>2451</c:v>
                </c:pt>
                <c:pt idx="1">
                  <c:v>1792</c:v>
                </c:pt>
                <c:pt idx="2">
                  <c:v>1987</c:v>
                </c:pt>
                <c:pt idx="3">
                  <c:v>2122</c:v>
                </c:pt>
                <c:pt idx="4">
                  <c:v>1909</c:v>
                </c:pt>
                <c:pt idx="5">
                  <c:v>1948</c:v>
                </c:pt>
                <c:pt idx="6">
                  <c:v>1966</c:v>
                </c:pt>
                <c:pt idx="7">
                  <c:v>1755</c:v>
                </c:pt>
                <c:pt idx="8">
                  <c:v>2053</c:v>
                </c:pt>
                <c:pt idx="9">
                  <c:v>2353</c:v>
                </c:pt>
                <c:pt idx="10">
                  <c:v>2236</c:v>
                </c:pt>
                <c:pt idx="11">
                  <c:v>878</c:v>
                </c:pt>
                <c:pt idx="12">
                  <c:v>1109</c:v>
                </c:pt>
                <c:pt idx="13">
                  <c:v>2346</c:v>
                </c:pt>
                <c:pt idx="14">
                  <c:v>1222</c:v>
                </c:pt>
                <c:pt idx="15">
                  <c:v>1986</c:v>
                </c:pt>
                <c:pt idx="16">
                  <c:v>391</c:v>
                </c:pt>
                <c:pt idx="17">
                  <c:v>1248</c:v>
                </c:pt>
                <c:pt idx="18">
                  <c:v>1716</c:v>
                </c:pt>
                <c:pt idx="19">
                  <c:v>2695</c:v>
                </c:pt>
                <c:pt idx="20">
                  <c:v>1800</c:v>
                </c:pt>
                <c:pt idx="21">
                  <c:v>2108</c:v>
                </c:pt>
                <c:pt idx="22">
                  <c:v>2215</c:v>
                </c:pt>
                <c:pt idx="23">
                  <c:v>2112</c:v>
                </c:pt>
                <c:pt idx="24">
                  <c:v>2268</c:v>
                </c:pt>
                <c:pt idx="25">
                  <c:v>2112</c:v>
                </c:pt>
                <c:pt idx="26">
                  <c:v>2016</c:v>
                </c:pt>
                <c:pt idx="27">
                  <c:v>2330</c:v>
                </c:pt>
                <c:pt idx="28">
                  <c:v>1867</c:v>
                </c:pt>
                <c:pt idx="29">
                  <c:v>1777</c:v>
                </c:pt>
                <c:pt idx="30">
                  <c:v>1121</c:v>
                </c:pt>
                <c:pt idx="31">
                  <c:v>2249</c:v>
                </c:pt>
                <c:pt idx="32">
                  <c:v>1262</c:v>
                </c:pt>
                <c:pt idx="33">
                  <c:v>553</c:v>
                </c:pt>
                <c:pt idx="34">
                  <c:v>932</c:v>
                </c:pt>
                <c:pt idx="35">
                  <c:v>2579</c:v>
                </c:pt>
                <c:pt idx="36">
                  <c:v>1659</c:v>
                </c:pt>
                <c:pt idx="37">
                  <c:v>1947</c:v>
                </c:pt>
                <c:pt idx="38">
                  <c:v>857</c:v>
                </c:pt>
                <c:pt idx="39">
                  <c:v>1412</c:v>
                </c:pt>
                <c:pt idx="40">
                  <c:v>2047</c:v>
                </c:pt>
                <c:pt idx="41">
                  <c:v>536</c:v>
                </c:pt>
                <c:pt idx="42">
                  <c:v>2687</c:v>
                </c:pt>
                <c:pt idx="43">
                  <c:v>2348</c:v>
                </c:pt>
                <c:pt idx="44">
                  <c:v>2383</c:v>
                </c:pt>
                <c:pt idx="45">
                  <c:v>1001</c:v>
                </c:pt>
                <c:pt idx="46">
                  <c:v>439</c:v>
                </c:pt>
                <c:pt idx="47">
                  <c:v>1596</c:v>
                </c:pt>
                <c:pt idx="48">
                  <c:v>1548</c:v>
                </c:pt>
                <c:pt idx="49">
                  <c:v>2222</c:v>
                </c:pt>
                <c:pt idx="50">
                  <c:v>1888</c:v>
                </c:pt>
                <c:pt idx="51">
                  <c:v>1665</c:v>
                </c:pt>
                <c:pt idx="52">
                  <c:v>1691</c:v>
                </c:pt>
                <c:pt idx="53">
                  <c:v>517</c:v>
                </c:pt>
                <c:pt idx="54">
                  <c:v>1745</c:v>
                </c:pt>
                <c:pt idx="55">
                  <c:v>1453</c:v>
                </c:pt>
                <c:pt idx="56">
                  <c:v>1496</c:v>
                </c:pt>
                <c:pt idx="57">
                  <c:v>2669</c:v>
                </c:pt>
                <c:pt idx="58">
                  <c:v>2799</c:v>
                </c:pt>
                <c:pt idx="59">
                  <c:v>2544</c:v>
                </c:pt>
                <c:pt idx="60">
                  <c:v>1670</c:v>
                </c:pt>
                <c:pt idx="61">
                  <c:v>1891</c:v>
                </c:pt>
                <c:pt idx="62">
                  <c:v>1984</c:v>
                </c:pt>
                <c:pt idx="63">
                  <c:v>628</c:v>
                </c:pt>
                <c:pt idx="64">
                  <c:v>1469</c:v>
                </c:pt>
                <c:pt idx="65">
                  <c:v>2564</c:v>
                </c:pt>
                <c:pt idx="66">
                  <c:v>711</c:v>
                </c:pt>
                <c:pt idx="67">
                  <c:v>676</c:v>
                </c:pt>
                <c:pt idx="68">
                  <c:v>1747</c:v>
                </c:pt>
                <c:pt idx="69">
                  <c:v>1907</c:v>
                </c:pt>
                <c:pt idx="70">
                  <c:v>1194</c:v>
                </c:pt>
                <c:pt idx="71">
                  <c:v>1129</c:v>
                </c:pt>
                <c:pt idx="72">
                  <c:v>1498</c:v>
                </c:pt>
                <c:pt idx="73">
                  <c:v>1859</c:v>
                </c:pt>
                <c:pt idx="74">
                  <c:v>1315</c:v>
                </c:pt>
                <c:pt idx="75">
                  <c:v>1300</c:v>
                </c:pt>
                <c:pt idx="76">
                  <c:v>2038</c:v>
                </c:pt>
                <c:pt idx="77">
                  <c:v>1190</c:v>
                </c:pt>
                <c:pt idx="78">
                  <c:v>1521</c:v>
                </c:pt>
                <c:pt idx="79">
                  <c:v>710</c:v>
                </c:pt>
                <c:pt idx="80">
                  <c:v>1525</c:v>
                </c:pt>
                <c:pt idx="81">
                  <c:v>1495</c:v>
                </c:pt>
                <c:pt idx="82">
                  <c:v>1808</c:v>
                </c:pt>
                <c:pt idx="83">
                  <c:v>2012</c:v>
                </c:pt>
                <c:pt idx="84">
                  <c:v>1681</c:v>
                </c:pt>
                <c:pt idx="85">
                  <c:v>1685</c:v>
                </c:pt>
                <c:pt idx="86">
                  <c:v>1529</c:v>
                </c:pt>
                <c:pt idx="87">
                  <c:v>1800</c:v>
                </c:pt>
                <c:pt idx="88">
                  <c:v>1896</c:v>
                </c:pt>
                <c:pt idx="89">
                  <c:v>1963</c:v>
                </c:pt>
                <c:pt idx="90">
                  <c:v>1902</c:v>
                </c:pt>
                <c:pt idx="91">
                  <c:v>1647</c:v>
                </c:pt>
                <c:pt idx="92">
                  <c:v>1316</c:v>
                </c:pt>
                <c:pt idx="93">
                  <c:v>2424</c:v>
                </c:pt>
                <c:pt idx="94">
                  <c:v>2162</c:v>
                </c:pt>
                <c:pt idx="95">
                  <c:v>1230</c:v>
                </c:pt>
                <c:pt idx="96">
                  <c:v>901</c:v>
                </c:pt>
                <c:pt idx="97">
                  <c:v>2387</c:v>
                </c:pt>
                <c:pt idx="98">
                  <c:v>1535</c:v>
                </c:pt>
                <c:pt idx="99">
                  <c:v>2645</c:v>
                </c:pt>
                <c:pt idx="100">
                  <c:v>2043</c:v>
                </c:pt>
                <c:pt idx="101">
                  <c:v>1990</c:v>
                </c:pt>
                <c:pt idx="102">
                  <c:v>988</c:v>
                </c:pt>
                <c:pt idx="103">
                  <c:v>132</c:v>
                </c:pt>
                <c:pt idx="104">
                  <c:v>83</c:v>
                </c:pt>
                <c:pt idx="105">
                  <c:v>1763</c:v>
                </c:pt>
                <c:pt idx="106">
                  <c:v>1063</c:v>
                </c:pt>
                <c:pt idx="107">
                  <c:v>2316</c:v>
                </c:pt>
                <c:pt idx="108">
                  <c:v>1250</c:v>
                </c:pt>
                <c:pt idx="109">
                  <c:v>1265</c:v>
                </c:pt>
                <c:pt idx="110">
                  <c:v>1736</c:v>
                </c:pt>
                <c:pt idx="111">
                  <c:v>2586</c:v>
                </c:pt>
                <c:pt idx="112">
                  <c:v>1243</c:v>
                </c:pt>
                <c:pt idx="113">
                  <c:v>1451</c:v>
                </c:pt>
                <c:pt idx="114">
                  <c:v>1179</c:v>
                </c:pt>
                <c:pt idx="115">
                  <c:v>2285</c:v>
                </c:pt>
                <c:pt idx="116">
                  <c:v>1678</c:v>
                </c:pt>
                <c:pt idx="117">
                  <c:v>2025</c:v>
                </c:pt>
                <c:pt idx="118">
                  <c:v>0</c:v>
                </c:pt>
                <c:pt idx="119">
                  <c:v>2430</c:v>
                </c:pt>
                <c:pt idx="120">
                  <c:v>2209</c:v>
                </c:pt>
                <c:pt idx="121">
                  <c:v>2330</c:v>
                </c:pt>
                <c:pt idx="122">
                  <c:v>2013</c:v>
                </c:pt>
                <c:pt idx="123">
                  <c:v>2023</c:v>
                </c:pt>
                <c:pt idx="124">
                  <c:v>2032</c:v>
                </c:pt>
                <c:pt idx="125">
                  <c:v>1759</c:v>
                </c:pt>
                <c:pt idx="126">
                  <c:v>2293</c:v>
                </c:pt>
                <c:pt idx="127">
                  <c:v>2176</c:v>
                </c:pt>
                <c:pt idx="128">
                  <c:v>1998</c:v>
                </c:pt>
                <c:pt idx="129">
                  <c:v>1307</c:v>
                </c:pt>
                <c:pt idx="130">
                  <c:v>1453</c:v>
                </c:pt>
                <c:pt idx="131">
                  <c:v>1520</c:v>
                </c:pt>
                <c:pt idx="132">
                  <c:v>1462</c:v>
                </c:pt>
                <c:pt idx="133">
                  <c:v>1433</c:v>
                </c:pt>
                <c:pt idx="134">
                  <c:v>1850</c:v>
                </c:pt>
                <c:pt idx="135">
                  <c:v>2111</c:v>
                </c:pt>
                <c:pt idx="136">
                  <c:v>1035</c:v>
                </c:pt>
                <c:pt idx="137">
                  <c:v>1915</c:v>
                </c:pt>
                <c:pt idx="138">
                  <c:v>2290</c:v>
                </c:pt>
                <c:pt idx="139">
                  <c:v>2253</c:v>
                </c:pt>
                <c:pt idx="140">
                  <c:v>1800</c:v>
                </c:pt>
                <c:pt idx="141">
                  <c:v>2162</c:v>
                </c:pt>
                <c:pt idx="142">
                  <c:v>2058</c:v>
                </c:pt>
                <c:pt idx="143">
                  <c:v>2109</c:v>
                </c:pt>
                <c:pt idx="144">
                  <c:v>1251</c:v>
                </c:pt>
                <c:pt idx="145">
                  <c:v>1278</c:v>
                </c:pt>
                <c:pt idx="146">
                  <c:v>981</c:v>
                </c:pt>
                <c:pt idx="147">
                  <c:v>1911</c:v>
                </c:pt>
                <c:pt idx="148">
                  <c:v>2296</c:v>
                </c:pt>
                <c:pt idx="149">
                  <c:v>2186</c:v>
                </c:pt>
                <c:pt idx="150">
                  <c:v>2642</c:v>
                </c:pt>
                <c:pt idx="151">
                  <c:v>1775</c:v>
                </c:pt>
                <c:pt idx="152">
                  <c:v>1894</c:v>
                </c:pt>
                <c:pt idx="153">
                  <c:v>2070</c:v>
                </c:pt>
                <c:pt idx="154">
                  <c:v>2196</c:v>
                </c:pt>
                <c:pt idx="155">
                  <c:v>2551</c:v>
                </c:pt>
                <c:pt idx="156">
                  <c:v>2922</c:v>
                </c:pt>
                <c:pt idx="157">
                  <c:v>752</c:v>
                </c:pt>
                <c:pt idx="158">
                  <c:v>793</c:v>
                </c:pt>
                <c:pt idx="159">
                  <c:v>1731</c:v>
                </c:pt>
                <c:pt idx="160">
                  <c:v>1086</c:v>
                </c:pt>
                <c:pt idx="161">
                  <c:v>3026</c:v>
                </c:pt>
                <c:pt idx="162">
                  <c:v>2514</c:v>
                </c:pt>
                <c:pt idx="163">
                  <c:v>2308</c:v>
                </c:pt>
                <c:pt idx="164">
                  <c:v>2212</c:v>
                </c:pt>
                <c:pt idx="165">
                  <c:v>2419</c:v>
                </c:pt>
                <c:pt idx="166">
                  <c:v>2132</c:v>
                </c:pt>
                <c:pt idx="167">
                  <c:v>2359</c:v>
                </c:pt>
                <c:pt idx="168">
                  <c:v>2958</c:v>
                </c:pt>
                <c:pt idx="169">
                  <c:v>749</c:v>
                </c:pt>
                <c:pt idx="170">
                  <c:v>2663</c:v>
                </c:pt>
                <c:pt idx="171">
                  <c:v>1277</c:v>
                </c:pt>
                <c:pt idx="172">
                  <c:v>1094</c:v>
                </c:pt>
                <c:pt idx="173">
                  <c:v>1232</c:v>
                </c:pt>
                <c:pt idx="174">
                  <c:v>1023</c:v>
                </c:pt>
                <c:pt idx="175">
                  <c:v>1695</c:v>
                </c:pt>
                <c:pt idx="176">
                  <c:v>1677</c:v>
                </c:pt>
                <c:pt idx="177">
                  <c:v>2354</c:v>
                </c:pt>
                <c:pt idx="178">
                  <c:v>1806</c:v>
                </c:pt>
                <c:pt idx="179">
                  <c:v>1294</c:v>
                </c:pt>
                <c:pt idx="180">
                  <c:v>1640</c:v>
                </c:pt>
                <c:pt idx="181">
                  <c:v>1068</c:v>
                </c:pt>
              </c:numCache>
            </c:numRef>
          </c:bubbleSize>
          <c:bubble3D val="0"/>
          <c:extLst>
            <c:ext xmlns:c16="http://schemas.microsoft.com/office/drawing/2014/chart" uri="{C3380CC4-5D6E-409C-BE32-E72D297353CC}">
              <c16:uniqueId val="{00000006-2D10-4E5E-9489-B18E1CFA942D}"/>
            </c:ext>
          </c:extLst>
        </c:ser>
        <c:ser>
          <c:idx val="15"/>
          <c:order val="7"/>
          <c:tx>
            <c:strRef>
              <c:f>'Мособлдума партии'!$AP$1</c:f>
              <c:strCache>
                <c:ptCount val="1"/>
                <c:pt idx="0">
                  <c:v>Яблоко</c:v>
                </c:pt>
              </c:strCache>
            </c:strRef>
          </c:tx>
          <c:spPr>
            <a:solidFill>
              <a:srgbClr val="FF00FF">
                <a:alpha val="50000"/>
              </a:srgbClr>
            </a:solidFill>
            <a:ln w="25400">
              <a:noFill/>
            </a:ln>
            <a:effectLst/>
          </c:spPr>
          <c:invertIfNegative val="0"/>
          <c:xVal>
            <c:numRef>
              <c:f>'Мособлдума партии'!$O$2:$O$183</c:f>
              <c:numCache>
                <c:formatCode>0.0</c:formatCode>
                <c:ptCount val="182"/>
                <c:pt idx="0">
                  <c:v>65.483476132190944</c:v>
                </c:pt>
                <c:pt idx="1">
                  <c:v>53.515625</c:v>
                </c:pt>
                <c:pt idx="2">
                  <c:v>54.8565676899849</c:v>
                </c:pt>
                <c:pt idx="3">
                  <c:v>54.665409990574929</c:v>
                </c:pt>
                <c:pt idx="4">
                  <c:v>48.402304871660554</c:v>
                </c:pt>
                <c:pt idx="5">
                  <c:v>50.359342915811091</c:v>
                </c:pt>
                <c:pt idx="6">
                  <c:v>59.511698880976603</c:v>
                </c:pt>
                <c:pt idx="7">
                  <c:v>73.105413105413106</c:v>
                </c:pt>
                <c:pt idx="8">
                  <c:v>71.602532878714072</c:v>
                </c:pt>
                <c:pt idx="9">
                  <c:v>36.124096897577559</c:v>
                </c:pt>
                <c:pt idx="10">
                  <c:v>25.402504472271914</c:v>
                </c:pt>
                <c:pt idx="11">
                  <c:v>72.779043280182236</c:v>
                </c:pt>
                <c:pt idx="12">
                  <c:v>50.76645626690712</c:v>
                </c:pt>
                <c:pt idx="13">
                  <c:v>35.336743393009378</c:v>
                </c:pt>
                <c:pt idx="14">
                  <c:v>46.317512274959086</c:v>
                </c:pt>
                <c:pt idx="15">
                  <c:v>29.405840886203425</c:v>
                </c:pt>
                <c:pt idx="16">
                  <c:v>43.734015345268546</c:v>
                </c:pt>
                <c:pt idx="17">
                  <c:v>31.410256410256409</c:v>
                </c:pt>
                <c:pt idx="18">
                  <c:v>48.484848484848484</c:v>
                </c:pt>
                <c:pt idx="19">
                  <c:v>35.881261595547308</c:v>
                </c:pt>
                <c:pt idx="20">
                  <c:v>24.388888888888889</c:v>
                </c:pt>
                <c:pt idx="21">
                  <c:v>46.110056925996204</c:v>
                </c:pt>
                <c:pt idx="22">
                  <c:v>30.428893905191874</c:v>
                </c:pt>
                <c:pt idx="23">
                  <c:v>35.842803030303031</c:v>
                </c:pt>
                <c:pt idx="24">
                  <c:v>30.996472663139329</c:v>
                </c:pt>
                <c:pt idx="25">
                  <c:v>37.5</c:v>
                </c:pt>
                <c:pt idx="26">
                  <c:v>45.486111111111114</c:v>
                </c:pt>
                <c:pt idx="27">
                  <c:v>30.472103004291846</c:v>
                </c:pt>
                <c:pt idx="28">
                  <c:v>38.564542046063202</c:v>
                </c:pt>
                <c:pt idx="29">
                  <c:v>34.21496904895892</c:v>
                </c:pt>
                <c:pt idx="30">
                  <c:v>38.358608385370204</c:v>
                </c:pt>
                <c:pt idx="31">
                  <c:v>29.568697198755004</c:v>
                </c:pt>
                <c:pt idx="32">
                  <c:v>38.906497622820922</c:v>
                </c:pt>
                <c:pt idx="33">
                  <c:v>60.397830018083184</c:v>
                </c:pt>
                <c:pt idx="34">
                  <c:v>40.557939914163093</c:v>
                </c:pt>
                <c:pt idx="35">
                  <c:v>60.643660333462584</c:v>
                </c:pt>
                <c:pt idx="36">
                  <c:v>80.892103676913806</c:v>
                </c:pt>
                <c:pt idx="37">
                  <c:v>37.185413456599896</c:v>
                </c:pt>
                <c:pt idx="38">
                  <c:v>39.089848308051344</c:v>
                </c:pt>
                <c:pt idx="39">
                  <c:v>39.518413597733712</c:v>
                </c:pt>
                <c:pt idx="40">
                  <c:v>34.831460674157306</c:v>
                </c:pt>
                <c:pt idx="41">
                  <c:v>30.410447761194028</c:v>
                </c:pt>
                <c:pt idx="42">
                  <c:v>33.382954968366207</c:v>
                </c:pt>
                <c:pt idx="43">
                  <c:v>33.17717206132879</c:v>
                </c:pt>
                <c:pt idx="44">
                  <c:v>66.638690725975664</c:v>
                </c:pt>
                <c:pt idx="45">
                  <c:v>76.323676323676324</c:v>
                </c:pt>
                <c:pt idx="46">
                  <c:v>63.553530751708429</c:v>
                </c:pt>
                <c:pt idx="47">
                  <c:v>38.345864661654133</c:v>
                </c:pt>
                <c:pt idx="48">
                  <c:v>46.447028423772608</c:v>
                </c:pt>
                <c:pt idx="49">
                  <c:v>54.770477047704773</c:v>
                </c:pt>
                <c:pt idx="50">
                  <c:v>39.671610169491522</c:v>
                </c:pt>
                <c:pt idx="51">
                  <c:v>36.756756756756758</c:v>
                </c:pt>
                <c:pt idx="52">
                  <c:v>41.573033707865171</c:v>
                </c:pt>
                <c:pt idx="53">
                  <c:v>77.949709864603477</c:v>
                </c:pt>
                <c:pt idx="54">
                  <c:v>33.753581661891118</c:v>
                </c:pt>
                <c:pt idx="55">
                  <c:v>33.72333103922918</c:v>
                </c:pt>
                <c:pt idx="56">
                  <c:v>42.37967914438503</c:v>
                </c:pt>
                <c:pt idx="57">
                  <c:v>34.80704383664294</c:v>
                </c:pt>
                <c:pt idx="58">
                  <c:v>27.331189710610932</c:v>
                </c:pt>
                <c:pt idx="59">
                  <c:v>40.369496855345915</c:v>
                </c:pt>
                <c:pt idx="60">
                  <c:v>36.407185628742518</c:v>
                </c:pt>
                <c:pt idx="61">
                  <c:v>43.839238498149129</c:v>
                </c:pt>
                <c:pt idx="62">
                  <c:v>26.411290322580644</c:v>
                </c:pt>
                <c:pt idx="63">
                  <c:v>26.433121019108281</c:v>
                </c:pt>
                <c:pt idx="64">
                  <c:v>29.407760381211709</c:v>
                </c:pt>
                <c:pt idx="65">
                  <c:v>56.201248049922</c:v>
                </c:pt>
                <c:pt idx="66">
                  <c:v>64.838255977496488</c:v>
                </c:pt>
                <c:pt idx="67">
                  <c:v>51.035502958579883</c:v>
                </c:pt>
                <c:pt idx="68">
                  <c:v>44.304522037779051</c:v>
                </c:pt>
                <c:pt idx="69">
                  <c:v>52.071316203460931</c:v>
                </c:pt>
                <c:pt idx="70">
                  <c:v>34.757118927973202</c:v>
                </c:pt>
                <c:pt idx="71">
                  <c:v>40.566873339238263</c:v>
                </c:pt>
                <c:pt idx="72">
                  <c:v>38.851802403204275</c:v>
                </c:pt>
                <c:pt idx="73">
                  <c:v>20.387305002689619</c:v>
                </c:pt>
                <c:pt idx="74">
                  <c:v>33.460076045627375</c:v>
                </c:pt>
                <c:pt idx="75">
                  <c:v>48.615384615384613</c:v>
                </c:pt>
                <c:pt idx="76">
                  <c:v>53.680078508341509</c:v>
                </c:pt>
                <c:pt idx="77">
                  <c:v>64.369747899159663</c:v>
                </c:pt>
                <c:pt idx="78">
                  <c:v>48.849441157133462</c:v>
                </c:pt>
                <c:pt idx="79">
                  <c:v>40.281690140845072</c:v>
                </c:pt>
                <c:pt idx="80">
                  <c:v>50.819672131147541</c:v>
                </c:pt>
                <c:pt idx="81">
                  <c:v>39.598662207357862</c:v>
                </c:pt>
                <c:pt idx="82">
                  <c:v>50.497787610619469</c:v>
                </c:pt>
                <c:pt idx="83">
                  <c:v>44.284294234592444</c:v>
                </c:pt>
                <c:pt idx="84">
                  <c:v>40.035693039857229</c:v>
                </c:pt>
                <c:pt idx="85">
                  <c:v>39.169139465875368</c:v>
                </c:pt>
                <c:pt idx="86">
                  <c:v>44.34270765206017</c:v>
                </c:pt>
                <c:pt idx="87">
                  <c:v>34.888888888888886</c:v>
                </c:pt>
                <c:pt idx="88">
                  <c:v>36.497890295358651</c:v>
                </c:pt>
                <c:pt idx="89">
                  <c:v>42.791645440652061</c:v>
                </c:pt>
                <c:pt idx="90">
                  <c:v>48.685594111461619</c:v>
                </c:pt>
                <c:pt idx="91">
                  <c:v>50.516089860352153</c:v>
                </c:pt>
                <c:pt idx="92">
                  <c:v>53.875379939209729</c:v>
                </c:pt>
                <c:pt idx="93">
                  <c:v>63.985148514851488</c:v>
                </c:pt>
                <c:pt idx="94">
                  <c:v>65.171137835337646</c:v>
                </c:pt>
                <c:pt idx="95">
                  <c:v>49.1869918699187</c:v>
                </c:pt>
                <c:pt idx="96">
                  <c:v>53.274139844617089</c:v>
                </c:pt>
                <c:pt idx="97">
                  <c:v>47.549224968579807</c:v>
                </c:pt>
                <c:pt idx="98">
                  <c:v>52.247557003257327</c:v>
                </c:pt>
                <c:pt idx="99">
                  <c:v>31.077504725897921</c:v>
                </c:pt>
                <c:pt idx="100">
                  <c:v>34.410181106216349</c:v>
                </c:pt>
                <c:pt idx="101">
                  <c:v>58.090452261306531</c:v>
                </c:pt>
                <c:pt idx="102">
                  <c:v>54.251012145748987</c:v>
                </c:pt>
                <c:pt idx="103">
                  <c:v>100</c:v>
                </c:pt>
                <c:pt idx="104">
                  <c:v>96.385542168674704</c:v>
                </c:pt>
                <c:pt idx="105">
                  <c:v>44.696539988655701</c:v>
                </c:pt>
                <c:pt idx="106">
                  <c:v>34.995296331138285</c:v>
                </c:pt>
                <c:pt idx="107">
                  <c:v>35.362694300518136</c:v>
                </c:pt>
                <c:pt idx="108">
                  <c:v>39.04</c:v>
                </c:pt>
                <c:pt idx="109">
                  <c:v>35.573122529644266</c:v>
                </c:pt>
                <c:pt idx="110">
                  <c:v>44.124423963133637</c:v>
                </c:pt>
                <c:pt idx="111">
                  <c:v>38.940448569218873</c:v>
                </c:pt>
                <c:pt idx="112">
                  <c:v>38.696701528559935</c:v>
                </c:pt>
                <c:pt idx="113">
                  <c:v>40.17918676774638</c:v>
                </c:pt>
                <c:pt idx="114">
                  <c:v>36.726039016115351</c:v>
                </c:pt>
                <c:pt idx="115">
                  <c:v>34.266958424507656</c:v>
                </c:pt>
                <c:pt idx="116">
                  <c:v>44.636471990464841</c:v>
                </c:pt>
                <c:pt idx="117">
                  <c:v>34.172839506172842</c:v>
                </c:pt>
                <c:pt idx="118">
                  <c:v>0</c:v>
                </c:pt>
                <c:pt idx="119">
                  <c:v>38.02469135802469</c:v>
                </c:pt>
                <c:pt idx="120">
                  <c:v>31.100045269352648</c:v>
                </c:pt>
                <c:pt idx="121">
                  <c:v>52.017167381974247</c:v>
                </c:pt>
                <c:pt idx="122">
                  <c:v>34.624937903626432</c:v>
                </c:pt>
                <c:pt idx="123">
                  <c:v>35.096391497775578</c:v>
                </c:pt>
                <c:pt idx="124">
                  <c:v>42.913385826771652</c:v>
                </c:pt>
                <c:pt idx="125">
                  <c:v>39.681637293916999</c:v>
                </c:pt>
                <c:pt idx="126">
                  <c:v>35.935455734845178</c:v>
                </c:pt>
                <c:pt idx="127">
                  <c:v>33.134191176470587</c:v>
                </c:pt>
                <c:pt idx="128">
                  <c:v>35.535535535535537</c:v>
                </c:pt>
                <c:pt idx="129">
                  <c:v>41.009946442234124</c:v>
                </c:pt>
                <c:pt idx="130">
                  <c:v>70.199587061252586</c:v>
                </c:pt>
                <c:pt idx="131">
                  <c:v>31.644736842105264</c:v>
                </c:pt>
                <c:pt idx="132">
                  <c:v>33.720930232558139</c:v>
                </c:pt>
                <c:pt idx="133">
                  <c:v>33.635729239357993</c:v>
                </c:pt>
                <c:pt idx="134">
                  <c:v>28.324324324324323</c:v>
                </c:pt>
                <c:pt idx="135">
                  <c:v>41.544291804831836</c:v>
                </c:pt>
                <c:pt idx="136">
                  <c:v>54.589371980676326</c:v>
                </c:pt>
                <c:pt idx="137">
                  <c:v>50.391644908616186</c:v>
                </c:pt>
                <c:pt idx="138">
                  <c:v>35.37117903930131</c:v>
                </c:pt>
                <c:pt idx="139">
                  <c:v>32.978251220594764</c:v>
                </c:pt>
                <c:pt idx="140">
                  <c:v>69.944444444444443</c:v>
                </c:pt>
                <c:pt idx="141">
                  <c:v>31.868640148011099</c:v>
                </c:pt>
                <c:pt idx="142">
                  <c:v>39.067055393586003</c:v>
                </c:pt>
                <c:pt idx="143">
                  <c:v>35.988620199146517</c:v>
                </c:pt>
                <c:pt idx="144">
                  <c:v>29.496402877697843</c:v>
                </c:pt>
                <c:pt idx="145">
                  <c:v>36.228482003129891</c:v>
                </c:pt>
                <c:pt idx="146">
                  <c:v>32.619775739041792</c:v>
                </c:pt>
                <c:pt idx="147">
                  <c:v>32.914704343275773</c:v>
                </c:pt>
                <c:pt idx="148">
                  <c:v>36.454703832752614</c:v>
                </c:pt>
                <c:pt idx="149">
                  <c:v>38.655077767612077</c:v>
                </c:pt>
                <c:pt idx="150">
                  <c:v>26.343679031037095</c:v>
                </c:pt>
                <c:pt idx="151">
                  <c:v>27.943661971830984</c:v>
                </c:pt>
                <c:pt idx="152">
                  <c:v>30.517423442449843</c:v>
                </c:pt>
                <c:pt idx="153">
                  <c:v>24.29951690821256</c:v>
                </c:pt>
                <c:pt idx="154">
                  <c:v>25.819672131147541</c:v>
                </c:pt>
                <c:pt idx="155">
                  <c:v>21.834574676597413</c:v>
                </c:pt>
                <c:pt idx="156">
                  <c:v>30.424366872005475</c:v>
                </c:pt>
                <c:pt idx="157">
                  <c:v>53.324468085106382</c:v>
                </c:pt>
                <c:pt idx="158">
                  <c:v>50.189155107187894</c:v>
                </c:pt>
                <c:pt idx="159">
                  <c:v>31.138070479491624</c:v>
                </c:pt>
                <c:pt idx="160">
                  <c:v>44.290976058931861</c:v>
                </c:pt>
                <c:pt idx="161">
                  <c:v>25.94183740912095</c:v>
                </c:pt>
                <c:pt idx="162">
                  <c:v>21.28082736674622</c:v>
                </c:pt>
                <c:pt idx="163">
                  <c:v>25.129982668977469</c:v>
                </c:pt>
                <c:pt idx="164">
                  <c:v>25.090415913200722</c:v>
                </c:pt>
                <c:pt idx="165">
                  <c:v>25.754443985117817</c:v>
                </c:pt>
                <c:pt idx="166">
                  <c:v>23.076923076923077</c:v>
                </c:pt>
                <c:pt idx="167">
                  <c:v>21.449766850360323</c:v>
                </c:pt>
                <c:pt idx="168">
                  <c:v>24.780256930358352</c:v>
                </c:pt>
                <c:pt idx="169">
                  <c:v>17.890520694259013</c:v>
                </c:pt>
                <c:pt idx="170">
                  <c:v>21.104018024784079</c:v>
                </c:pt>
                <c:pt idx="171">
                  <c:v>40.642129992169146</c:v>
                </c:pt>
                <c:pt idx="172">
                  <c:v>33.180987202925046</c:v>
                </c:pt>
                <c:pt idx="173">
                  <c:v>30.762987012987011</c:v>
                </c:pt>
                <c:pt idx="174">
                  <c:v>35.679374389051809</c:v>
                </c:pt>
                <c:pt idx="175">
                  <c:v>37.286135693215343</c:v>
                </c:pt>
                <c:pt idx="176">
                  <c:v>47.942754919499109</c:v>
                </c:pt>
                <c:pt idx="177">
                  <c:v>62.786745964316054</c:v>
                </c:pt>
                <c:pt idx="178">
                  <c:v>31.561461794019934</c:v>
                </c:pt>
                <c:pt idx="179">
                  <c:v>40.958268933539415</c:v>
                </c:pt>
                <c:pt idx="180">
                  <c:v>42.378048780487802</c:v>
                </c:pt>
                <c:pt idx="181">
                  <c:v>23.970037453183522</c:v>
                </c:pt>
              </c:numCache>
            </c:numRef>
          </c:xVal>
          <c:yVal>
            <c:numRef>
              <c:f>'Мособлдума партии'!$AP$2:$AP$183</c:f>
              <c:numCache>
                <c:formatCode>0.0</c:formatCode>
                <c:ptCount val="182"/>
                <c:pt idx="0">
                  <c:v>1.0591900311526479</c:v>
                </c:pt>
                <c:pt idx="1">
                  <c:v>1.1506276150627615</c:v>
                </c:pt>
                <c:pt idx="2">
                  <c:v>1.0091743119266054</c:v>
                </c:pt>
                <c:pt idx="3">
                  <c:v>1.3840830449826989</c:v>
                </c:pt>
                <c:pt idx="4">
                  <c:v>1.9565217391304348</c:v>
                </c:pt>
                <c:pt idx="5">
                  <c:v>1.5321756894790604</c:v>
                </c:pt>
                <c:pt idx="6">
                  <c:v>1.8803418803418803</c:v>
                </c:pt>
                <c:pt idx="7">
                  <c:v>1.098901098901099</c:v>
                </c:pt>
                <c:pt idx="8">
                  <c:v>1.2925170068027212</c:v>
                </c:pt>
                <c:pt idx="9">
                  <c:v>2.3837902264600714</c:v>
                </c:pt>
                <c:pt idx="10">
                  <c:v>3.5211267605633805</c:v>
                </c:pt>
                <c:pt idx="11">
                  <c:v>1.2519561815336464</c:v>
                </c:pt>
                <c:pt idx="12">
                  <c:v>1.9538188277087034</c:v>
                </c:pt>
                <c:pt idx="13">
                  <c:v>3.1363088057901085</c:v>
                </c:pt>
                <c:pt idx="14">
                  <c:v>2.8268551236749118</c:v>
                </c:pt>
                <c:pt idx="15">
                  <c:v>3.2534246575342465</c:v>
                </c:pt>
                <c:pt idx="16">
                  <c:v>3.5087719298245612</c:v>
                </c:pt>
                <c:pt idx="17">
                  <c:v>4.1450777202072535</c:v>
                </c:pt>
                <c:pt idx="18">
                  <c:v>2.0432692307692308</c:v>
                </c:pt>
                <c:pt idx="19">
                  <c:v>2.2750775594622543</c:v>
                </c:pt>
                <c:pt idx="20">
                  <c:v>3.6446469248291571</c:v>
                </c:pt>
                <c:pt idx="21">
                  <c:v>1.0288065843621399</c:v>
                </c:pt>
                <c:pt idx="22">
                  <c:v>4.5994065281899106</c:v>
                </c:pt>
                <c:pt idx="23">
                  <c:v>0.79260237780713338</c:v>
                </c:pt>
                <c:pt idx="24">
                  <c:v>1.566951566951567</c:v>
                </c:pt>
                <c:pt idx="25">
                  <c:v>1.5151515151515151</c:v>
                </c:pt>
                <c:pt idx="26">
                  <c:v>1.8538713195201746</c:v>
                </c:pt>
                <c:pt idx="27">
                  <c:v>3.1205673758865249</c:v>
                </c:pt>
                <c:pt idx="28">
                  <c:v>3.3519553072625698</c:v>
                </c:pt>
                <c:pt idx="29">
                  <c:v>2.9605263157894739</c:v>
                </c:pt>
                <c:pt idx="30">
                  <c:v>2.3255813953488373</c:v>
                </c:pt>
                <c:pt idx="31">
                  <c:v>3.4586466165413534</c:v>
                </c:pt>
                <c:pt idx="32">
                  <c:v>1.629327902240326</c:v>
                </c:pt>
                <c:pt idx="33">
                  <c:v>2.3952095808383231</c:v>
                </c:pt>
                <c:pt idx="34">
                  <c:v>0.26455026455026454</c:v>
                </c:pt>
                <c:pt idx="35">
                  <c:v>1.4705882352941178</c:v>
                </c:pt>
                <c:pt idx="36">
                  <c:v>1.639344262295082</c:v>
                </c:pt>
                <c:pt idx="37">
                  <c:v>2.0718232044198897</c:v>
                </c:pt>
                <c:pt idx="38">
                  <c:v>1.1940298507462686</c:v>
                </c:pt>
                <c:pt idx="39">
                  <c:v>0.90252707581227432</c:v>
                </c:pt>
                <c:pt idx="40">
                  <c:v>2.4531024531024532</c:v>
                </c:pt>
                <c:pt idx="41">
                  <c:v>1.8404907975460123</c:v>
                </c:pt>
                <c:pt idx="42">
                  <c:v>3.5674470457079153</c:v>
                </c:pt>
                <c:pt idx="43">
                  <c:v>1.9255455712451861</c:v>
                </c:pt>
                <c:pt idx="44">
                  <c:v>1.1979823455233292</c:v>
                </c:pt>
                <c:pt idx="45">
                  <c:v>0.65445026178010468</c:v>
                </c:pt>
                <c:pt idx="46">
                  <c:v>1.7921146953405018</c:v>
                </c:pt>
                <c:pt idx="47">
                  <c:v>1.6339869281045751</c:v>
                </c:pt>
                <c:pt idx="48">
                  <c:v>2.2253129346314324</c:v>
                </c:pt>
                <c:pt idx="49">
                  <c:v>1.2531328320802004</c:v>
                </c:pt>
                <c:pt idx="50">
                  <c:v>1.0680907877169559</c:v>
                </c:pt>
                <c:pt idx="51">
                  <c:v>2.7777777777777777</c:v>
                </c:pt>
                <c:pt idx="52">
                  <c:v>2.1337126600284493</c:v>
                </c:pt>
                <c:pt idx="53">
                  <c:v>0.24813895781637718</c:v>
                </c:pt>
                <c:pt idx="54">
                  <c:v>2.2108843537414966</c:v>
                </c:pt>
                <c:pt idx="55">
                  <c:v>4.0816326530612246</c:v>
                </c:pt>
                <c:pt idx="56">
                  <c:v>3.9432176656151419</c:v>
                </c:pt>
                <c:pt idx="57">
                  <c:v>3.3369214208826694</c:v>
                </c:pt>
                <c:pt idx="58">
                  <c:v>5.3594771241830061</c:v>
                </c:pt>
                <c:pt idx="59">
                  <c:v>2.044790652385589</c:v>
                </c:pt>
                <c:pt idx="60">
                  <c:v>3.1353135313531353</c:v>
                </c:pt>
                <c:pt idx="61">
                  <c:v>1.5681544028950543</c:v>
                </c:pt>
                <c:pt idx="62">
                  <c:v>2.0992366412213741</c:v>
                </c:pt>
                <c:pt idx="63">
                  <c:v>3.6144578313253013</c:v>
                </c:pt>
                <c:pt idx="64">
                  <c:v>3.0092592592592591</c:v>
                </c:pt>
                <c:pt idx="65">
                  <c:v>1.8736988202637057</c:v>
                </c:pt>
                <c:pt idx="66">
                  <c:v>1.5184381778741864</c:v>
                </c:pt>
                <c:pt idx="67">
                  <c:v>0.57971014492753625</c:v>
                </c:pt>
                <c:pt idx="68">
                  <c:v>0.64599483204134367</c:v>
                </c:pt>
                <c:pt idx="69">
                  <c:v>1.2084592145015105</c:v>
                </c:pt>
                <c:pt idx="70">
                  <c:v>2.1686746987951806</c:v>
                </c:pt>
                <c:pt idx="71">
                  <c:v>3.0634573304157549</c:v>
                </c:pt>
                <c:pt idx="72">
                  <c:v>1.5625</c:v>
                </c:pt>
                <c:pt idx="73">
                  <c:v>3.4300791556728232</c:v>
                </c:pt>
                <c:pt idx="74">
                  <c:v>3.8812785388127855</c:v>
                </c:pt>
                <c:pt idx="75">
                  <c:v>2.0569620253164556</c:v>
                </c:pt>
                <c:pt idx="76">
                  <c:v>1.0999083409715857</c:v>
                </c:pt>
                <c:pt idx="77">
                  <c:v>1.2965964343598055</c:v>
                </c:pt>
                <c:pt idx="78">
                  <c:v>2.1534320323014806</c:v>
                </c:pt>
                <c:pt idx="79">
                  <c:v>1.3986013986013985</c:v>
                </c:pt>
                <c:pt idx="80">
                  <c:v>0.90322580645161288</c:v>
                </c:pt>
                <c:pt idx="81">
                  <c:v>1.6891891891891893</c:v>
                </c:pt>
                <c:pt idx="82">
                  <c:v>1.9715224534501643</c:v>
                </c:pt>
                <c:pt idx="83">
                  <c:v>2.1324354657687992</c:v>
                </c:pt>
                <c:pt idx="84">
                  <c:v>1.4858841010401189</c:v>
                </c:pt>
                <c:pt idx="85">
                  <c:v>2.4242424242424243</c:v>
                </c:pt>
                <c:pt idx="86">
                  <c:v>2.2123893805309733</c:v>
                </c:pt>
                <c:pt idx="87">
                  <c:v>2.3885350318471339</c:v>
                </c:pt>
                <c:pt idx="88">
                  <c:v>2.7906976744186047</c:v>
                </c:pt>
                <c:pt idx="89">
                  <c:v>2.1428571428571428</c:v>
                </c:pt>
                <c:pt idx="90">
                  <c:v>1.2958963282937366</c:v>
                </c:pt>
                <c:pt idx="91">
                  <c:v>2.5240384615384617</c:v>
                </c:pt>
                <c:pt idx="92">
                  <c:v>1.8335684062059239</c:v>
                </c:pt>
                <c:pt idx="93">
                  <c:v>0.90264345583494521</c:v>
                </c:pt>
                <c:pt idx="94">
                  <c:v>1.7069701280227596</c:v>
                </c:pt>
                <c:pt idx="95">
                  <c:v>1.6528925619834711</c:v>
                </c:pt>
                <c:pt idx="96">
                  <c:v>0.83333333333333337</c:v>
                </c:pt>
                <c:pt idx="97">
                  <c:v>1.4977973568281939</c:v>
                </c:pt>
                <c:pt idx="98">
                  <c:v>2.3690773067331672</c:v>
                </c:pt>
                <c:pt idx="99">
                  <c:v>2.0681265206812651</c:v>
                </c:pt>
                <c:pt idx="100">
                  <c:v>1.8492176386913228</c:v>
                </c:pt>
                <c:pt idx="101">
                  <c:v>1.6521739130434783</c:v>
                </c:pt>
                <c:pt idx="102">
                  <c:v>2.0715630885122409</c:v>
                </c:pt>
                <c:pt idx="103">
                  <c:v>0.75757575757575757</c:v>
                </c:pt>
                <c:pt idx="104">
                  <c:v>2.5</c:v>
                </c:pt>
                <c:pt idx="105">
                  <c:v>3.2994923857868019</c:v>
                </c:pt>
                <c:pt idx="106">
                  <c:v>1.881720430107527</c:v>
                </c:pt>
                <c:pt idx="107">
                  <c:v>3.6630036630036629</c:v>
                </c:pt>
                <c:pt idx="108">
                  <c:v>2.0746887966804981</c:v>
                </c:pt>
                <c:pt idx="109">
                  <c:v>2.4444444444444446</c:v>
                </c:pt>
                <c:pt idx="110">
                  <c:v>2.3004059539918811</c:v>
                </c:pt>
                <c:pt idx="111">
                  <c:v>3.7656903765690375</c:v>
                </c:pt>
                <c:pt idx="112">
                  <c:v>5</c:v>
                </c:pt>
                <c:pt idx="113">
                  <c:v>2.229845626072041</c:v>
                </c:pt>
                <c:pt idx="114">
                  <c:v>3.4802784222737819</c:v>
                </c:pt>
                <c:pt idx="115">
                  <c:v>2.8205128205128207</c:v>
                </c:pt>
                <c:pt idx="116">
                  <c:v>2.5469168900804289</c:v>
                </c:pt>
                <c:pt idx="117">
                  <c:v>3.3236994219653178</c:v>
                </c:pt>
                <c:pt idx="118">
                  <c:v>0</c:v>
                </c:pt>
                <c:pt idx="119">
                  <c:v>1.408450704225352</c:v>
                </c:pt>
                <c:pt idx="120">
                  <c:v>2.7656477438136826</c:v>
                </c:pt>
                <c:pt idx="121">
                  <c:v>2.3927392739273929</c:v>
                </c:pt>
                <c:pt idx="122">
                  <c:v>3.9039039039039038</c:v>
                </c:pt>
                <c:pt idx="123">
                  <c:v>2.8368794326241136</c:v>
                </c:pt>
                <c:pt idx="124">
                  <c:v>3.278688524590164</c:v>
                </c:pt>
                <c:pt idx="125">
                  <c:v>2.5824964131994261</c:v>
                </c:pt>
                <c:pt idx="126">
                  <c:v>4.2475728155339807</c:v>
                </c:pt>
                <c:pt idx="127">
                  <c:v>3.19001386962552</c:v>
                </c:pt>
                <c:pt idx="128">
                  <c:v>4.788732394366197</c:v>
                </c:pt>
                <c:pt idx="129">
                  <c:v>3.1716417910447761</c:v>
                </c:pt>
                <c:pt idx="130">
                  <c:v>4.3689320388349513</c:v>
                </c:pt>
                <c:pt idx="131">
                  <c:v>6.4449064449064446</c:v>
                </c:pt>
                <c:pt idx="132">
                  <c:v>3.8539553752535496</c:v>
                </c:pt>
                <c:pt idx="133">
                  <c:v>2.6970954356846475</c:v>
                </c:pt>
                <c:pt idx="134">
                  <c:v>4.770992366412214</c:v>
                </c:pt>
                <c:pt idx="135">
                  <c:v>3.6488027366020526</c:v>
                </c:pt>
                <c:pt idx="136">
                  <c:v>1.7699115044247788</c:v>
                </c:pt>
                <c:pt idx="137">
                  <c:v>1.5560165975103735</c:v>
                </c:pt>
                <c:pt idx="138">
                  <c:v>3.116883116883117</c:v>
                </c:pt>
                <c:pt idx="139">
                  <c:v>2.4226110363391657</c:v>
                </c:pt>
                <c:pt idx="140">
                  <c:v>1.7474185861795075</c:v>
                </c:pt>
                <c:pt idx="141">
                  <c:v>2.7576197387518144</c:v>
                </c:pt>
                <c:pt idx="142">
                  <c:v>1.639344262295082</c:v>
                </c:pt>
                <c:pt idx="143">
                  <c:v>2.7932960893854748</c:v>
                </c:pt>
                <c:pt idx="144">
                  <c:v>2.9810298102981028</c:v>
                </c:pt>
                <c:pt idx="145">
                  <c:v>4.967602591792657</c:v>
                </c:pt>
                <c:pt idx="146">
                  <c:v>2.1875</c:v>
                </c:pt>
                <c:pt idx="147">
                  <c:v>3.8155802861685215</c:v>
                </c:pt>
                <c:pt idx="148">
                  <c:v>2.7577937649880098</c:v>
                </c:pt>
                <c:pt idx="149">
                  <c:v>3.6729857819905214</c:v>
                </c:pt>
                <c:pt idx="150">
                  <c:v>4.0229885057471266</c:v>
                </c:pt>
                <c:pt idx="151">
                  <c:v>4.637096774193548</c:v>
                </c:pt>
                <c:pt idx="152">
                  <c:v>5.5363321799307954</c:v>
                </c:pt>
                <c:pt idx="153">
                  <c:v>2.3856858846918487</c:v>
                </c:pt>
                <c:pt idx="154">
                  <c:v>3.8800705467372132</c:v>
                </c:pt>
                <c:pt idx="155">
                  <c:v>3.0520646319569122</c:v>
                </c:pt>
                <c:pt idx="156">
                  <c:v>1.4623172103487063</c:v>
                </c:pt>
                <c:pt idx="157">
                  <c:v>2.5062656641604009</c:v>
                </c:pt>
                <c:pt idx="158">
                  <c:v>3.8888888888888888</c:v>
                </c:pt>
                <c:pt idx="159">
                  <c:v>2.6315789473684212</c:v>
                </c:pt>
                <c:pt idx="160">
                  <c:v>2.7027027027027026</c:v>
                </c:pt>
                <c:pt idx="161">
                  <c:v>7.9182630906768834</c:v>
                </c:pt>
                <c:pt idx="162">
                  <c:v>5.981308411214953</c:v>
                </c:pt>
                <c:pt idx="163">
                  <c:v>6.7357512953367875</c:v>
                </c:pt>
                <c:pt idx="164">
                  <c:v>3.0630630630630629</c:v>
                </c:pt>
                <c:pt idx="165">
                  <c:v>2.7287319422150884</c:v>
                </c:pt>
                <c:pt idx="166">
                  <c:v>3.4623217922606924</c:v>
                </c:pt>
                <c:pt idx="167">
                  <c:v>3.3797216699801194</c:v>
                </c:pt>
                <c:pt idx="168">
                  <c:v>3.6834924965893587</c:v>
                </c:pt>
                <c:pt idx="169">
                  <c:v>4.6875</c:v>
                </c:pt>
                <c:pt idx="170">
                  <c:v>6.4056939501779357</c:v>
                </c:pt>
                <c:pt idx="171">
                  <c:v>2.6974951830443161</c:v>
                </c:pt>
                <c:pt idx="172">
                  <c:v>7.4380165289256199</c:v>
                </c:pt>
                <c:pt idx="173">
                  <c:v>3.6939313984168867</c:v>
                </c:pt>
                <c:pt idx="174">
                  <c:v>3.2876712328767121</c:v>
                </c:pt>
                <c:pt idx="175">
                  <c:v>2.3049645390070923</c:v>
                </c:pt>
                <c:pt idx="176">
                  <c:v>1.7412935323383085</c:v>
                </c:pt>
                <c:pt idx="177">
                  <c:v>1.6914749661705006</c:v>
                </c:pt>
                <c:pt idx="178">
                  <c:v>2.2807017543859649</c:v>
                </c:pt>
                <c:pt idx="179">
                  <c:v>2.0754716981132075</c:v>
                </c:pt>
                <c:pt idx="180">
                  <c:v>1.7266187050359711</c:v>
                </c:pt>
                <c:pt idx="181">
                  <c:v>7.03125</c:v>
                </c:pt>
              </c:numCache>
            </c:numRef>
          </c:yVal>
          <c:bubbleSize>
            <c:numRef>
              <c:f>'Мособлдума партии'!$J$2:$J$183</c:f>
              <c:numCache>
                <c:formatCode>General</c:formatCode>
                <c:ptCount val="182"/>
                <c:pt idx="0">
                  <c:v>2451</c:v>
                </c:pt>
                <c:pt idx="1">
                  <c:v>1792</c:v>
                </c:pt>
                <c:pt idx="2">
                  <c:v>1987</c:v>
                </c:pt>
                <c:pt idx="3">
                  <c:v>2122</c:v>
                </c:pt>
                <c:pt idx="4">
                  <c:v>1909</c:v>
                </c:pt>
                <c:pt idx="5">
                  <c:v>1948</c:v>
                </c:pt>
                <c:pt idx="6">
                  <c:v>1966</c:v>
                </c:pt>
                <c:pt idx="7">
                  <c:v>1755</c:v>
                </c:pt>
                <c:pt idx="8">
                  <c:v>2053</c:v>
                </c:pt>
                <c:pt idx="9">
                  <c:v>2353</c:v>
                </c:pt>
                <c:pt idx="10">
                  <c:v>2236</c:v>
                </c:pt>
                <c:pt idx="11">
                  <c:v>878</c:v>
                </c:pt>
                <c:pt idx="12">
                  <c:v>1109</c:v>
                </c:pt>
                <c:pt idx="13">
                  <c:v>2346</c:v>
                </c:pt>
                <c:pt idx="14">
                  <c:v>1222</c:v>
                </c:pt>
                <c:pt idx="15">
                  <c:v>1986</c:v>
                </c:pt>
                <c:pt idx="16">
                  <c:v>391</c:v>
                </c:pt>
                <c:pt idx="17">
                  <c:v>1248</c:v>
                </c:pt>
                <c:pt idx="18">
                  <c:v>1716</c:v>
                </c:pt>
                <c:pt idx="19">
                  <c:v>2695</c:v>
                </c:pt>
                <c:pt idx="20">
                  <c:v>1800</c:v>
                </c:pt>
                <c:pt idx="21">
                  <c:v>2108</c:v>
                </c:pt>
                <c:pt idx="22">
                  <c:v>2215</c:v>
                </c:pt>
                <c:pt idx="23">
                  <c:v>2112</c:v>
                </c:pt>
                <c:pt idx="24">
                  <c:v>2268</c:v>
                </c:pt>
                <c:pt idx="25">
                  <c:v>2112</c:v>
                </c:pt>
                <c:pt idx="26">
                  <c:v>2016</c:v>
                </c:pt>
                <c:pt idx="27">
                  <c:v>2330</c:v>
                </c:pt>
                <c:pt idx="28">
                  <c:v>1867</c:v>
                </c:pt>
                <c:pt idx="29">
                  <c:v>1777</c:v>
                </c:pt>
                <c:pt idx="30">
                  <c:v>1121</c:v>
                </c:pt>
                <c:pt idx="31">
                  <c:v>2249</c:v>
                </c:pt>
                <c:pt idx="32">
                  <c:v>1262</c:v>
                </c:pt>
                <c:pt idx="33">
                  <c:v>553</c:v>
                </c:pt>
                <c:pt idx="34">
                  <c:v>932</c:v>
                </c:pt>
                <c:pt idx="35">
                  <c:v>2579</c:v>
                </c:pt>
                <c:pt idx="36">
                  <c:v>1659</c:v>
                </c:pt>
                <c:pt idx="37">
                  <c:v>1947</c:v>
                </c:pt>
                <c:pt idx="38">
                  <c:v>857</c:v>
                </c:pt>
                <c:pt idx="39">
                  <c:v>1412</c:v>
                </c:pt>
                <c:pt idx="40">
                  <c:v>2047</c:v>
                </c:pt>
                <c:pt idx="41">
                  <c:v>536</c:v>
                </c:pt>
                <c:pt idx="42">
                  <c:v>2687</c:v>
                </c:pt>
                <c:pt idx="43">
                  <c:v>2348</c:v>
                </c:pt>
                <c:pt idx="44">
                  <c:v>2383</c:v>
                </c:pt>
                <c:pt idx="45">
                  <c:v>1001</c:v>
                </c:pt>
                <c:pt idx="46">
                  <c:v>439</c:v>
                </c:pt>
                <c:pt idx="47">
                  <c:v>1596</c:v>
                </c:pt>
                <c:pt idx="48">
                  <c:v>1548</c:v>
                </c:pt>
                <c:pt idx="49">
                  <c:v>2222</c:v>
                </c:pt>
                <c:pt idx="50">
                  <c:v>1888</c:v>
                </c:pt>
                <c:pt idx="51">
                  <c:v>1665</c:v>
                </c:pt>
                <c:pt idx="52">
                  <c:v>1691</c:v>
                </c:pt>
                <c:pt idx="53">
                  <c:v>517</c:v>
                </c:pt>
                <c:pt idx="54">
                  <c:v>1745</c:v>
                </c:pt>
                <c:pt idx="55">
                  <c:v>1453</c:v>
                </c:pt>
                <c:pt idx="56">
                  <c:v>1496</c:v>
                </c:pt>
                <c:pt idx="57">
                  <c:v>2669</c:v>
                </c:pt>
                <c:pt idx="58">
                  <c:v>2799</c:v>
                </c:pt>
                <c:pt idx="59">
                  <c:v>2544</c:v>
                </c:pt>
                <c:pt idx="60">
                  <c:v>1670</c:v>
                </c:pt>
                <c:pt idx="61">
                  <c:v>1891</c:v>
                </c:pt>
                <c:pt idx="62">
                  <c:v>1984</c:v>
                </c:pt>
                <c:pt idx="63">
                  <c:v>628</c:v>
                </c:pt>
                <c:pt idx="64">
                  <c:v>1469</c:v>
                </c:pt>
                <c:pt idx="65">
                  <c:v>2564</c:v>
                </c:pt>
                <c:pt idx="66">
                  <c:v>711</c:v>
                </c:pt>
                <c:pt idx="67">
                  <c:v>676</c:v>
                </c:pt>
                <c:pt idx="68">
                  <c:v>1747</c:v>
                </c:pt>
                <c:pt idx="69">
                  <c:v>1907</c:v>
                </c:pt>
                <c:pt idx="70">
                  <c:v>1194</c:v>
                </c:pt>
                <c:pt idx="71">
                  <c:v>1129</c:v>
                </c:pt>
                <c:pt idx="72">
                  <c:v>1498</c:v>
                </c:pt>
                <c:pt idx="73">
                  <c:v>1859</c:v>
                </c:pt>
                <c:pt idx="74">
                  <c:v>1315</c:v>
                </c:pt>
                <c:pt idx="75">
                  <c:v>1300</c:v>
                </c:pt>
                <c:pt idx="76">
                  <c:v>2038</c:v>
                </c:pt>
                <c:pt idx="77">
                  <c:v>1190</c:v>
                </c:pt>
                <c:pt idx="78">
                  <c:v>1521</c:v>
                </c:pt>
                <c:pt idx="79">
                  <c:v>710</c:v>
                </c:pt>
                <c:pt idx="80">
                  <c:v>1525</c:v>
                </c:pt>
                <c:pt idx="81">
                  <c:v>1495</c:v>
                </c:pt>
                <c:pt idx="82">
                  <c:v>1808</c:v>
                </c:pt>
                <c:pt idx="83">
                  <c:v>2012</c:v>
                </c:pt>
                <c:pt idx="84">
                  <c:v>1681</c:v>
                </c:pt>
                <c:pt idx="85">
                  <c:v>1685</c:v>
                </c:pt>
                <c:pt idx="86">
                  <c:v>1529</c:v>
                </c:pt>
                <c:pt idx="87">
                  <c:v>1800</c:v>
                </c:pt>
                <c:pt idx="88">
                  <c:v>1896</c:v>
                </c:pt>
                <c:pt idx="89">
                  <c:v>1963</c:v>
                </c:pt>
                <c:pt idx="90">
                  <c:v>1902</c:v>
                </c:pt>
                <c:pt idx="91">
                  <c:v>1647</c:v>
                </c:pt>
                <c:pt idx="92">
                  <c:v>1316</c:v>
                </c:pt>
                <c:pt idx="93">
                  <c:v>2424</c:v>
                </c:pt>
                <c:pt idx="94">
                  <c:v>2162</c:v>
                </c:pt>
                <c:pt idx="95">
                  <c:v>1230</c:v>
                </c:pt>
                <c:pt idx="96">
                  <c:v>901</c:v>
                </c:pt>
                <c:pt idx="97">
                  <c:v>2387</c:v>
                </c:pt>
                <c:pt idx="98">
                  <c:v>1535</c:v>
                </c:pt>
                <c:pt idx="99">
                  <c:v>2645</c:v>
                </c:pt>
                <c:pt idx="100">
                  <c:v>2043</c:v>
                </c:pt>
                <c:pt idx="101">
                  <c:v>1990</c:v>
                </c:pt>
                <c:pt idx="102">
                  <c:v>988</c:v>
                </c:pt>
                <c:pt idx="103">
                  <c:v>132</c:v>
                </c:pt>
                <c:pt idx="104">
                  <c:v>83</c:v>
                </c:pt>
                <c:pt idx="105">
                  <c:v>1763</c:v>
                </c:pt>
                <c:pt idx="106">
                  <c:v>1063</c:v>
                </c:pt>
                <c:pt idx="107">
                  <c:v>2316</c:v>
                </c:pt>
                <c:pt idx="108">
                  <c:v>1250</c:v>
                </c:pt>
                <c:pt idx="109">
                  <c:v>1265</c:v>
                </c:pt>
                <c:pt idx="110">
                  <c:v>1736</c:v>
                </c:pt>
                <c:pt idx="111">
                  <c:v>2586</c:v>
                </c:pt>
                <c:pt idx="112">
                  <c:v>1243</c:v>
                </c:pt>
                <c:pt idx="113">
                  <c:v>1451</c:v>
                </c:pt>
                <c:pt idx="114">
                  <c:v>1179</c:v>
                </c:pt>
                <c:pt idx="115">
                  <c:v>2285</c:v>
                </c:pt>
                <c:pt idx="116">
                  <c:v>1678</c:v>
                </c:pt>
                <c:pt idx="117">
                  <c:v>2025</c:v>
                </c:pt>
                <c:pt idx="118">
                  <c:v>0</c:v>
                </c:pt>
                <c:pt idx="119">
                  <c:v>2430</c:v>
                </c:pt>
                <c:pt idx="120">
                  <c:v>2209</c:v>
                </c:pt>
                <c:pt idx="121">
                  <c:v>2330</c:v>
                </c:pt>
                <c:pt idx="122">
                  <c:v>2013</c:v>
                </c:pt>
                <c:pt idx="123">
                  <c:v>2023</c:v>
                </c:pt>
                <c:pt idx="124">
                  <c:v>2032</c:v>
                </c:pt>
                <c:pt idx="125">
                  <c:v>1759</c:v>
                </c:pt>
                <c:pt idx="126">
                  <c:v>2293</c:v>
                </c:pt>
                <c:pt idx="127">
                  <c:v>2176</c:v>
                </c:pt>
                <c:pt idx="128">
                  <c:v>1998</c:v>
                </c:pt>
                <c:pt idx="129">
                  <c:v>1307</c:v>
                </c:pt>
                <c:pt idx="130">
                  <c:v>1453</c:v>
                </c:pt>
                <c:pt idx="131">
                  <c:v>1520</c:v>
                </c:pt>
                <c:pt idx="132">
                  <c:v>1462</c:v>
                </c:pt>
                <c:pt idx="133">
                  <c:v>1433</c:v>
                </c:pt>
                <c:pt idx="134">
                  <c:v>1850</c:v>
                </c:pt>
                <c:pt idx="135">
                  <c:v>2111</c:v>
                </c:pt>
                <c:pt idx="136">
                  <c:v>1035</c:v>
                </c:pt>
                <c:pt idx="137">
                  <c:v>1915</c:v>
                </c:pt>
                <c:pt idx="138">
                  <c:v>2290</c:v>
                </c:pt>
                <c:pt idx="139">
                  <c:v>2253</c:v>
                </c:pt>
                <c:pt idx="140">
                  <c:v>1800</c:v>
                </c:pt>
                <c:pt idx="141">
                  <c:v>2162</c:v>
                </c:pt>
                <c:pt idx="142">
                  <c:v>2058</c:v>
                </c:pt>
                <c:pt idx="143">
                  <c:v>2109</c:v>
                </c:pt>
                <c:pt idx="144">
                  <c:v>1251</c:v>
                </c:pt>
                <c:pt idx="145">
                  <c:v>1278</c:v>
                </c:pt>
                <c:pt idx="146">
                  <c:v>981</c:v>
                </c:pt>
                <c:pt idx="147">
                  <c:v>1911</c:v>
                </c:pt>
                <c:pt idx="148">
                  <c:v>2296</c:v>
                </c:pt>
                <c:pt idx="149">
                  <c:v>2186</c:v>
                </c:pt>
                <c:pt idx="150">
                  <c:v>2642</c:v>
                </c:pt>
                <c:pt idx="151">
                  <c:v>1775</c:v>
                </c:pt>
                <c:pt idx="152">
                  <c:v>1894</c:v>
                </c:pt>
                <c:pt idx="153">
                  <c:v>2070</c:v>
                </c:pt>
                <c:pt idx="154">
                  <c:v>2196</c:v>
                </c:pt>
                <c:pt idx="155">
                  <c:v>2551</c:v>
                </c:pt>
                <c:pt idx="156">
                  <c:v>2922</c:v>
                </c:pt>
                <c:pt idx="157">
                  <c:v>752</c:v>
                </c:pt>
                <c:pt idx="158">
                  <c:v>793</c:v>
                </c:pt>
                <c:pt idx="159">
                  <c:v>1731</c:v>
                </c:pt>
                <c:pt idx="160">
                  <c:v>1086</c:v>
                </c:pt>
                <c:pt idx="161">
                  <c:v>3026</c:v>
                </c:pt>
                <c:pt idx="162">
                  <c:v>2514</c:v>
                </c:pt>
                <c:pt idx="163">
                  <c:v>2308</c:v>
                </c:pt>
                <c:pt idx="164">
                  <c:v>2212</c:v>
                </c:pt>
                <c:pt idx="165">
                  <c:v>2419</c:v>
                </c:pt>
                <c:pt idx="166">
                  <c:v>2132</c:v>
                </c:pt>
                <c:pt idx="167">
                  <c:v>2359</c:v>
                </c:pt>
                <c:pt idx="168">
                  <c:v>2958</c:v>
                </c:pt>
                <c:pt idx="169">
                  <c:v>749</c:v>
                </c:pt>
                <c:pt idx="170">
                  <c:v>2663</c:v>
                </c:pt>
                <c:pt idx="171">
                  <c:v>1277</c:v>
                </c:pt>
                <c:pt idx="172">
                  <c:v>1094</c:v>
                </c:pt>
                <c:pt idx="173">
                  <c:v>1232</c:v>
                </c:pt>
                <c:pt idx="174">
                  <c:v>1023</c:v>
                </c:pt>
                <c:pt idx="175">
                  <c:v>1695</c:v>
                </c:pt>
                <c:pt idx="176">
                  <c:v>1677</c:v>
                </c:pt>
                <c:pt idx="177">
                  <c:v>2354</c:v>
                </c:pt>
                <c:pt idx="178">
                  <c:v>1806</c:v>
                </c:pt>
                <c:pt idx="179">
                  <c:v>1294</c:v>
                </c:pt>
                <c:pt idx="180">
                  <c:v>1640</c:v>
                </c:pt>
                <c:pt idx="181">
                  <c:v>1068</c:v>
                </c:pt>
              </c:numCache>
            </c:numRef>
          </c:bubbleSize>
          <c:bubble3D val="0"/>
          <c:extLst>
            <c:ext xmlns:c16="http://schemas.microsoft.com/office/drawing/2014/chart" uri="{C3380CC4-5D6E-409C-BE32-E72D297353CC}">
              <c16:uniqueId val="{00000007-2D10-4E5E-9489-B18E1CFA942D}"/>
            </c:ext>
          </c:extLst>
        </c:ser>
        <c:ser>
          <c:idx val="4"/>
          <c:order val="8"/>
          <c:tx>
            <c:strRef>
              <c:f>'Мособлдума партии'!$AR$1</c:f>
              <c:strCache>
                <c:ptCount val="1"/>
                <c:pt idx="0">
                  <c:v>КР</c:v>
                </c:pt>
              </c:strCache>
            </c:strRef>
          </c:tx>
          <c:spPr>
            <a:solidFill>
              <a:srgbClr val="FF9999">
                <a:alpha val="50000"/>
              </a:srgbClr>
            </a:solidFill>
            <a:ln w="25400">
              <a:noFill/>
            </a:ln>
          </c:spPr>
          <c:invertIfNegative val="0"/>
          <c:xVal>
            <c:numRef>
              <c:f>'Мособлдума партии'!$O$2:$O$183</c:f>
              <c:numCache>
                <c:formatCode>0.0</c:formatCode>
                <c:ptCount val="182"/>
                <c:pt idx="0">
                  <c:v>65.483476132190944</c:v>
                </c:pt>
                <c:pt idx="1">
                  <c:v>53.515625</c:v>
                </c:pt>
                <c:pt idx="2">
                  <c:v>54.8565676899849</c:v>
                </c:pt>
                <c:pt idx="3">
                  <c:v>54.665409990574929</c:v>
                </c:pt>
                <c:pt idx="4">
                  <c:v>48.402304871660554</c:v>
                </c:pt>
                <c:pt idx="5">
                  <c:v>50.359342915811091</c:v>
                </c:pt>
                <c:pt idx="6">
                  <c:v>59.511698880976603</c:v>
                </c:pt>
                <c:pt idx="7">
                  <c:v>73.105413105413106</c:v>
                </c:pt>
                <c:pt idx="8">
                  <c:v>71.602532878714072</c:v>
                </c:pt>
                <c:pt idx="9">
                  <c:v>36.124096897577559</c:v>
                </c:pt>
                <c:pt idx="10">
                  <c:v>25.402504472271914</c:v>
                </c:pt>
                <c:pt idx="11">
                  <c:v>72.779043280182236</c:v>
                </c:pt>
                <c:pt idx="12">
                  <c:v>50.76645626690712</c:v>
                </c:pt>
                <c:pt idx="13">
                  <c:v>35.336743393009378</c:v>
                </c:pt>
                <c:pt idx="14">
                  <c:v>46.317512274959086</c:v>
                </c:pt>
                <c:pt idx="15">
                  <c:v>29.405840886203425</c:v>
                </c:pt>
                <c:pt idx="16">
                  <c:v>43.734015345268546</c:v>
                </c:pt>
                <c:pt idx="17">
                  <c:v>31.410256410256409</c:v>
                </c:pt>
                <c:pt idx="18">
                  <c:v>48.484848484848484</c:v>
                </c:pt>
                <c:pt idx="19">
                  <c:v>35.881261595547308</c:v>
                </c:pt>
                <c:pt idx="20">
                  <c:v>24.388888888888889</c:v>
                </c:pt>
                <c:pt idx="21">
                  <c:v>46.110056925996204</c:v>
                </c:pt>
                <c:pt idx="22">
                  <c:v>30.428893905191874</c:v>
                </c:pt>
                <c:pt idx="23">
                  <c:v>35.842803030303031</c:v>
                </c:pt>
                <c:pt idx="24">
                  <c:v>30.996472663139329</c:v>
                </c:pt>
                <c:pt idx="25">
                  <c:v>37.5</c:v>
                </c:pt>
                <c:pt idx="26">
                  <c:v>45.486111111111114</c:v>
                </c:pt>
                <c:pt idx="27">
                  <c:v>30.472103004291846</c:v>
                </c:pt>
                <c:pt idx="28">
                  <c:v>38.564542046063202</c:v>
                </c:pt>
                <c:pt idx="29">
                  <c:v>34.21496904895892</c:v>
                </c:pt>
                <c:pt idx="30">
                  <c:v>38.358608385370204</c:v>
                </c:pt>
                <c:pt idx="31">
                  <c:v>29.568697198755004</c:v>
                </c:pt>
                <c:pt idx="32">
                  <c:v>38.906497622820922</c:v>
                </c:pt>
                <c:pt idx="33">
                  <c:v>60.397830018083184</c:v>
                </c:pt>
                <c:pt idx="34">
                  <c:v>40.557939914163093</c:v>
                </c:pt>
                <c:pt idx="35">
                  <c:v>60.643660333462584</c:v>
                </c:pt>
                <c:pt idx="36">
                  <c:v>80.892103676913806</c:v>
                </c:pt>
                <c:pt idx="37">
                  <c:v>37.185413456599896</c:v>
                </c:pt>
                <c:pt idx="38">
                  <c:v>39.089848308051344</c:v>
                </c:pt>
                <c:pt idx="39">
                  <c:v>39.518413597733712</c:v>
                </c:pt>
                <c:pt idx="40">
                  <c:v>34.831460674157306</c:v>
                </c:pt>
                <c:pt idx="41">
                  <c:v>30.410447761194028</c:v>
                </c:pt>
                <c:pt idx="42">
                  <c:v>33.382954968366207</c:v>
                </c:pt>
                <c:pt idx="43">
                  <c:v>33.17717206132879</c:v>
                </c:pt>
                <c:pt idx="44">
                  <c:v>66.638690725975664</c:v>
                </c:pt>
                <c:pt idx="45">
                  <c:v>76.323676323676324</c:v>
                </c:pt>
                <c:pt idx="46">
                  <c:v>63.553530751708429</c:v>
                </c:pt>
                <c:pt idx="47">
                  <c:v>38.345864661654133</c:v>
                </c:pt>
                <c:pt idx="48">
                  <c:v>46.447028423772608</c:v>
                </c:pt>
                <c:pt idx="49">
                  <c:v>54.770477047704773</c:v>
                </c:pt>
                <c:pt idx="50">
                  <c:v>39.671610169491522</c:v>
                </c:pt>
                <c:pt idx="51">
                  <c:v>36.756756756756758</c:v>
                </c:pt>
                <c:pt idx="52">
                  <c:v>41.573033707865171</c:v>
                </c:pt>
                <c:pt idx="53">
                  <c:v>77.949709864603477</c:v>
                </c:pt>
                <c:pt idx="54">
                  <c:v>33.753581661891118</c:v>
                </c:pt>
                <c:pt idx="55">
                  <c:v>33.72333103922918</c:v>
                </c:pt>
                <c:pt idx="56">
                  <c:v>42.37967914438503</c:v>
                </c:pt>
                <c:pt idx="57">
                  <c:v>34.80704383664294</c:v>
                </c:pt>
                <c:pt idx="58">
                  <c:v>27.331189710610932</c:v>
                </c:pt>
                <c:pt idx="59">
                  <c:v>40.369496855345915</c:v>
                </c:pt>
                <c:pt idx="60">
                  <c:v>36.407185628742518</c:v>
                </c:pt>
                <c:pt idx="61">
                  <c:v>43.839238498149129</c:v>
                </c:pt>
                <c:pt idx="62">
                  <c:v>26.411290322580644</c:v>
                </c:pt>
                <c:pt idx="63">
                  <c:v>26.433121019108281</c:v>
                </c:pt>
                <c:pt idx="64">
                  <c:v>29.407760381211709</c:v>
                </c:pt>
                <c:pt idx="65">
                  <c:v>56.201248049922</c:v>
                </c:pt>
                <c:pt idx="66">
                  <c:v>64.838255977496488</c:v>
                </c:pt>
                <c:pt idx="67">
                  <c:v>51.035502958579883</c:v>
                </c:pt>
                <c:pt idx="68">
                  <c:v>44.304522037779051</c:v>
                </c:pt>
                <c:pt idx="69">
                  <c:v>52.071316203460931</c:v>
                </c:pt>
                <c:pt idx="70">
                  <c:v>34.757118927973202</c:v>
                </c:pt>
                <c:pt idx="71">
                  <c:v>40.566873339238263</c:v>
                </c:pt>
                <c:pt idx="72">
                  <c:v>38.851802403204275</c:v>
                </c:pt>
                <c:pt idx="73">
                  <c:v>20.387305002689619</c:v>
                </c:pt>
                <c:pt idx="74">
                  <c:v>33.460076045627375</c:v>
                </c:pt>
                <c:pt idx="75">
                  <c:v>48.615384615384613</c:v>
                </c:pt>
                <c:pt idx="76">
                  <c:v>53.680078508341509</c:v>
                </c:pt>
                <c:pt idx="77">
                  <c:v>64.369747899159663</c:v>
                </c:pt>
                <c:pt idx="78">
                  <c:v>48.849441157133462</c:v>
                </c:pt>
                <c:pt idx="79">
                  <c:v>40.281690140845072</c:v>
                </c:pt>
                <c:pt idx="80">
                  <c:v>50.819672131147541</c:v>
                </c:pt>
                <c:pt idx="81">
                  <c:v>39.598662207357862</c:v>
                </c:pt>
                <c:pt idx="82">
                  <c:v>50.497787610619469</c:v>
                </c:pt>
                <c:pt idx="83">
                  <c:v>44.284294234592444</c:v>
                </c:pt>
                <c:pt idx="84">
                  <c:v>40.035693039857229</c:v>
                </c:pt>
                <c:pt idx="85">
                  <c:v>39.169139465875368</c:v>
                </c:pt>
                <c:pt idx="86">
                  <c:v>44.34270765206017</c:v>
                </c:pt>
                <c:pt idx="87">
                  <c:v>34.888888888888886</c:v>
                </c:pt>
                <c:pt idx="88">
                  <c:v>36.497890295358651</c:v>
                </c:pt>
                <c:pt idx="89">
                  <c:v>42.791645440652061</c:v>
                </c:pt>
                <c:pt idx="90">
                  <c:v>48.685594111461619</c:v>
                </c:pt>
                <c:pt idx="91">
                  <c:v>50.516089860352153</c:v>
                </c:pt>
                <c:pt idx="92">
                  <c:v>53.875379939209729</c:v>
                </c:pt>
                <c:pt idx="93">
                  <c:v>63.985148514851488</c:v>
                </c:pt>
                <c:pt idx="94">
                  <c:v>65.171137835337646</c:v>
                </c:pt>
                <c:pt idx="95">
                  <c:v>49.1869918699187</c:v>
                </c:pt>
                <c:pt idx="96">
                  <c:v>53.274139844617089</c:v>
                </c:pt>
                <c:pt idx="97">
                  <c:v>47.549224968579807</c:v>
                </c:pt>
                <c:pt idx="98">
                  <c:v>52.247557003257327</c:v>
                </c:pt>
                <c:pt idx="99">
                  <c:v>31.077504725897921</c:v>
                </c:pt>
                <c:pt idx="100">
                  <c:v>34.410181106216349</c:v>
                </c:pt>
                <c:pt idx="101">
                  <c:v>58.090452261306531</c:v>
                </c:pt>
                <c:pt idx="102">
                  <c:v>54.251012145748987</c:v>
                </c:pt>
                <c:pt idx="103">
                  <c:v>100</c:v>
                </c:pt>
                <c:pt idx="104">
                  <c:v>96.385542168674704</c:v>
                </c:pt>
                <c:pt idx="105">
                  <c:v>44.696539988655701</c:v>
                </c:pt>
                <c:pt idx="106">
                  <c:v>34.995296331138285</c:v>
                </c:pt>
                <c:pt idx="107">
                  <c:v>35.362694300518136</c:v>
                </c:pt>
                <c:pt idx="108">
                  <c:v>39.04</c:v>
                </c:pt>
                <c:pt idx="109">
                  <c:v>35.573122529644266</c:v>
                </c:pt>
                <c:pt idx="110">
                  <c:v>44.124423963133637</c:v>
                </c:pt>
                <c:pt idx="111">
                  <c:v>38.940448569218873</c:v>
                </c:pt>
                <c:pt idx="112">
                  <c:v>38.696701528559935</c:v>
                </c:pt>
                <c:pt idx="113">
                  <c:v>40.17918676774638</c:v>
                </c:pt>
                <c:pt idx="114">
                  <c:v>36.726039016115351</c:v>
                </c:pt>
                <c:pt idx="115">
                  <c:v>34.266958424507656</c:v>
                </c:pt>
                <c:pt idx="116">
                  <c:v>44.636471990464841</c:v>
                </c:pt>
                <c:pt idx="117">
                  <c:v>34.172839506172842</c:v>
                </c:pt>
                <c:pt idx="118">
                  <c:v>0</c:v>
                </c:pt>
                <c:pt idx="119">
                  <c:v>38.02469135802469</c:v>
                </c:pt>
                <c:pt idx="120">
                  <c:v>31.100045269352648</c:v>
                </c:pt>
                <c:pt idx="121">
                  <c:v>52.017167381974247</c:v>
                </c:pt>
                <c:pt idx="122">
                  <c:v>34.624937903626432</c:v>
                </c:pt>
                <c:pt idx="123">
                  <c:v>35.096391497775578</c:v>
                </c:pt>
                <c:pt idx="124">
                  <c:v>42.913385826771652</c:v>
                </c:pt>
                <c:pt idx="125">
                  <c:v>39.681637293916999</c:v>
                </c:pt>
                <c:pt idx="126">
                  <c:v>35.935455734845178</c:v>
                </c:pt>
                <c:pt idx="127">
                  <c:v>33.134191176470587</c:v>
                </c:pt>
                <c:pt idx="128">
                  <c:v>35.535535535535537</c:v>
                </c:pt>
                <c:pt idx="129">
                  <c:v>41.009946442234124</c:v>
                </c:pt>
                <c:pt idx="130">
                  <c:v>70.199587061252586</c:v>
                </c:pt>
                <c:pt idx="131">
                  <c:v>31.644736842105264</c:v>
                </c:pt>
                <c:pt idx="132">
                  <c:v>33.720930232558139</c:v>
                </c:pt>
                <c:pt idx="133">
                  <c:v>33.635729239357993</c:v>
                </c:pt>
                <c:pt idx="134">
                  <c:v>28.324324324324323</c:v>
                </c:pt>
                <c:pt idx="135">
                  <c:v>41.544291804831836</c:v>
                </c:pt>
                <c:pt idx="136">
                  <c:v>54.589371980676326</c:v>
                </c:pt>
                <c:pt idx="137">
                  <c:v>50.391644908616186</c:v>
                </c:pt>
                <c:pt idx="138">
                  <c:v>35.37117903930131</c:v>
                </c:pt>
                <c:pt idx="139">
                  <c:v>32.978251220594764</c:v>
                </c:pt>
                <c:pt idx="140">
                  <c:v>69.944444444444443</c:v>
                </c:pt>
                <c:pt idx="141">
                  <c:v>31.868640148011099</c:v>
                </c:pt>
                <c:pt idx="142">
                  <c:v>39.067055393586003</c:v>
                </c:pt>
                <c:pt idx="143">
                  <c:v>35.988620199146517</c:v>
                </c:pt>
                <c:pt idx="144">
                  <c:v>29.496402877697843</c:v>
                </c:pt>
                <c:pt idx="145">
                  <c:v>36.228482003129891</c:v>
                </c:pt>
                <c:pt idx="146">
                  <c:v>32.619775739041792</c:v>
                </c:pt>
                <c:pt idx="147">
                  <c:v>32.914704343275773</c:v>
                </c:pt>
                <c:pt idx="148">
                  <c:v>36.454703832752614</c:v>
                </c:pt>
                <c:pt idx="149">
                  <c:v>38.655077767612077</c:v>
                </c:pt>
                <c:pt idx="150">
                  <c:v>26.343679031037095</c:v>
                </c:pt>
                <c:pt idx="151">
                  <c:v>27.943661971830984</c:v>
                </c:pt>
                <c:pt idx="152">
                  <c:v>30.517423442449843</c:v>
                </c:pt>
                <c:pt idx="153">
                  <c:v>24.29951690821256</c:v>
                </c:pt>
                <c:pt idx="154">
                  <c:v>25.819672131147541</c:v>
                </c:pt>
                <c:pt idx="155">
                  <c:v>21.834574676597413</c:v>
                </c:pt>
                <c:pt idx="156">
                  <c:v>30.424366872005475</c:v>
                </c:pt>
                <c:pt idx="157">
                  <c:v>53.324468085106382</c:v>
                </c:pt>
                <c:pt idx="158">
                  <c:v>50.189155107187894</c:v>
                </c:pt>
                <c:pt idx="159">
                  <c:v>31.138070479491624</c:v>
                </c:pt>
                <c:pt idx="160">
                  <c:v>44.290976058931861</c:v>
                </c:pt>
                <c:pt idx="161">
                  <c:v>25.94183740912095</c:v>
                </c:pt>
                <c:pt idx="162">
                  <c:v>21.28082736674622</c:v>
                </c:pt>
                <c:pt idx="163">
                  <c:v>25.129982668977469</c:v>
                </c:pt>
                <c:pt idx="164">
                  <c:v>25.090415913200722</c:v>
                </c:pt>
                <c:pt idx="165">
                  <c:v>25.754443985117817</c:v>
                </c:pt>
                <c:pt idx="166">
                  <c:v>23.076923076923077</c:v>
                </c:pt>
                <c:pt idx="167">
                  <c:v>21.449766850360323</c:v>
                </c:pt>
                <c:pt idx="168">
                  <c:v>24.780256930358352</c:v>
                </c:pt>
                <c:pt idx="169">
                  <c:v>17.890520694259013</c:v>
                </c:pt>
                <c:pt idx="170">
                  <c:v>21.104018024784079</c:v>
                </c:pt>
                <c:pt idx="171">
                  <c:v>40.642129992169146</c:v>
                </c:pt>
                <c:pt idx="172">
                  <c:v>33.180987202925046</c:v>
                </c:pt>
                <c:pt idx="173">
                  <c:v>30.762987012987011</c:v>
                </c:pt>
                <c:pt idx="174">
                  <c:v>35.679374389051809</c:v>
                </c:pt>
                <c:pt idx="175">
                  <c:v>37.286135693215343</c:v>
                </c:pt>
                <c:pt idx="176">
                  <c:v>47.942754919499109</c:v>
                </c:pt>
                <c:pt idx="177">
                  <c:v>62.786745964316054</c:v>
                </c:pt>
                <c:pt idx="178">
                  <c:v>31.561461794019934</c:v>
                </c:pt>
                <c:pt idx="179">
                  <c:v>40.958268933539415</c:v>
                </c:pt>
                <c:pt idx="180">
                  <c:v>42.378048780487802</c:v>
                </c:pt>
                <c:pt idx="181">
                  <c:v>23.970037453183522</c:v>
                </c:pt>
              </c:numCache>
            </c:numRef>
          </c:xVal>
          <c:yVal>
            <c:numRef>
              <c:f>'Мособлдума партии'!$AR$2:$AR$183</c:f>
              <c:numCache>
                <c:formatCode>0.0</c:formatCode>
                <c:ptCount val="182"/>
                <c:pt idx="0">
                  <c:v>2.3676012461059188</c:v>
                </c:pt>
                <c:pt idx="1">
                  <c:v>2.1966527196652721</c:v>
                </c:pt>
                <c:pt idx="2">
                  <c:v>1.3761467889908257</c:v>
                </c:pt>
                <c:pt idx="3">
                  <c:v>1.8166089965397925</c:v>
                </c:pt>
                <c:pt idx="4">
                  <c:v>1.8478260869565217</c:v>
                </c:pt>
                <c:pt idx="5">
                  <c:v>2.9622063329928499</c:v>
                </c:pt>
                <c:pt idx="6">
                  <c:v>1.8803418803418803</c:v>
                </c:pt>
                <c:pt idx="7">
                  <c:v>2.3547880690737832</c:v>
                </c:pt>
                <c:pt idx="8">
                  <c:v>8.3673469387755102</c:v>
                </c:pt>
                <c:pt idx="9">
                  <c:v>4.171632896305125</c:v>
                </c:pt>
                <c:pt idx="10">
                  <c:v>6.3380281690140849</c:v>
                </c:pt>
                <c:pt idx="11">
                  <c:v>0.78247261345852892</c:v>
                </c:pt>
                <c:pt idx="12">
                  <c:v>6.571936056838366</c:v>
                </c:pt>
                <c:pt idx="13">
                  <c:v>5.1869722557297946</c:v>
                </c:pt>
                <c:pt idx="14">
                  <c:v>1.5901060070671378</c:v>
                </c:pt>
                <c:pt idx="15">
                  <c:v>3.9383561643835616</c:v>
                </c:pt>
                <c:pt idx="16">
                  <c:v>4.0935672514619883</c:v>
                </c:pt>
                <c:pt idx="17">
                  <c:v>2.849740932642487</c:v>
                </c:pt>
                <c:pt idx="18">
                  <c:v>4.3269230769230766</c:v>
                </c:pt>
                <c:pt idx="19">
                  <c:v>2.4819027921406414</c:v>
                </c:pt>
                <c:pt idx="20">
                  <c:v>3.1890660592255125</c:v>
                </c:pt>
                <c:pt idx="21">
                  <c:v>1.6460905349794239</c:v>
                </c:pt>
                <c:pt idx="22">
                  <c:v>4.7477744807121658</c:v>
                </c:pt>
                <c:pt idx="23">
                  <c:v>4.8877146631439894</c:v>
                </c:pt>
                <c:pt idx="24">
                  <c:v>2.8490028490028489</c:v>
                </c:pt>
                <c:pt idx="25">
                  <c:v>3.9141414141414139</c:v>
                </c:pt>
                <c:pt idx="26">
                  <c:v>2.9443838604143946</c:v>
                </c:pt>
                <c:pt idx="27">
                  <c:v>2.4113475177304964</c:v>
                </c:pt>
                <c:pt idx="28">
                  <c:v>2.9329608938547485</c:v>
                </c:pt>
                <c:pt idx="29">
                  <c:v>2.7960526315789473</c:v>
                </c:pt>
                <c:pt idx="30">
                  <c:v>3.4883720930232558</c:v>
                </c:pt>
                <c:pt idx="31">
                  <c:v>3.3082706766917291</c:v>
                </c:pt>
                <c:pt idx="32">
                  <c:v>2.443991853360489</c:v>
                </c:pt>
                <c:pt idx="33">
                  <c:v>5.3892215568862278</c:v>
                </c:pt>
                <c:pt idx="34">
                  <c:v>1.8518518518518519</c:v>
                </c:pt>
                <c:pt idx="35">
                  <c:v>3.0051150895140664</c:v>
                </c:pt>
                <c:pt idx="36">
                  <c:v>1.4157973174366616</c:v>
                </c:pt>
                <c:pt idx="37">
                  <c:v>1.9337016574585635</c:v>
                </c:pt>
                <c:pt idx="38">
                  <c:v>2.9850746268656718</c:v>
                </c:pt>
                <c:pt idx="39">
                  <c:v>3.9711191335740073</c:v>
                </c:pt>
                <c:pt idx="40">
                  <c:v>2.8860028860028861</c:v>
                </c:pt>
                <c:pt idx="41">
                  <c:v>0.61349693251533743</c:v>
                </c:pt>
                <c:pt idx="42">
                  <c:v>3.9018952062430325</c:v>
                </c:pt>
                <c:pt idx="43">
                  <c:v>3.7227214377406934</c:v>
                </c:pt>
                <c:pt idx="44">
                  <c:v>1.1349306431273645</c:v>
                </c:pt>
                <c:pt idx="45">
                  <c:v>1.3089005235602094</c:v>
                </c:pt>
                <c:pt idx="46">
                  <c:v>12.544802867383513</c:v>
                </c:pt>
                <c:pt idx="47">
                  <c:v>4.0849673202614376</c:v>
                </c:pt>
                <c:pt idx="48">
                  <c:v>3.8942976356050067</c:v>
                </c:pt>
                <c:pt idx="49">
                  <c:v>2.6733500417710943</c:v>
                </c:pt>
                <c:pt idx="50">
                  <c:v>3.4712950600801067</c:v>
                </c:pt>
                <c:pt idx="51">
                  <c:v>4.9019607843137258</c:v>
                </c:pt>
                <c:pt idx="52">
                  <c:v>4.5519203413940259</c:v>
                </c:pt>
                <c:pt idx="53">
                  <c:v>2.2332506203473947</c:v>
                </c:pt>
                <c:pt idx="54">
                  <c:v>4.2517006802721085</c:v>
                </c:pt>
                <c:pt idx="55">
                  <c:v>4.2857142857142856</c:v>
                </c:pt>
                <c:pt idx="56">
                  <c:v>2.0504731861198739</c:v>
                </c:pt>
                <c:pt idx="57">
                  <c:v>3.0139935414424111</c:v>
                </c:pt>
                <c:pt idx="58">
                  <c:v>3.7908496732026142</c:v>
                </c:pt>
                <c:pt idx="59">
                  <c:v>3.7974683544303796</c:v>
                </c:pt>
                <c:pt idx="60">
                  <c:v>0.66006600660066006</c:v>
                </c:pt>
                <c:pt idx="61">
                  <c:v>2.0506634499396865</c:v>
                </c:pt>
                <c:pt idx="62">
                  <c:v>2.6717557251908395</c:v>
                </c:pt>
                <c:pt idx="63">
                  <c:v>4.2168674698795181</c:v>
                </c:pt>
                <c:pt idx="64">
                  <c:v>5.5555555555555554</c:v>
                </c:pt>
                <c:pt idx="65">
                  <c:v>2.5676613462873004</c:v>
                </c:pt>
                <c:pt idx="66">
                  <c:v>2.8199566160520608</c:v>
                </c:pt>
                <c:pt idx="67">
                  <c:v>4.9275362318840576</c:v>
                </c:pt>
                <c:pt idx="68">
                  <c:v>5.297157622739018</c:v>
                </c:pt>
                <c:pt idx="69">
                  <c:v>5.8408862034239677</c:v>
                </c:pt>
                <c:pt idx="70">
                  <c:v>4.3373493975903612</c:v>
                </c:pt>
                <c:pt idx="71">
                  <c:v>3.0634573304157549</c:v>
                </c:pt>
                <c:pt idx="72">
                  <c:v>3.9930555555555554</c:v>
                </c:pt>
                <c:pt idx="73">
                  <c:v>3.6939313984168867</c:v>
                </c:pt>
                <c:pt idx="74">
                  <c:v>3.1963470319634704</c:v>
                </c:pt>
                <c:pt idx="75">
                  <c:v>2.5316455696202533</c:v>
                </c:pt>
                <c:pt idx="76">
                  <c:v>4.6746104491292391</c:v>
                </c:pt>
                <c:pt idx="77">
                  <c:v>3.5656401944894651</c:v>
                </c:pt>
                <c:pt idx="78">
                  <c:v>2.4226110363391657</c:v>
                </c:pt>
                <c:pt idx="79">
                  <c:v>3.1468531468531467</c:v>
                </c:pt>
                <c:pt idx="80">
                  <c:v>2.7096774193548385</c:v>
                </c:pt>
                <c:pt idx="81">
                  <c:v>2.1959459459459461</c:v>
                </c:pt>
                <c:pt idx="82">
                  <c:v>4.0525739320920042</c:v>
                </c:pt>
                <c:pt idx="83">
                  <c:v>4.9382716049382713</c:v>
                </c:pt>
                <c:pt idx="84">
                  <c:v>4.0118870728083209</c:v>
                </c:pt>
                <c:pt idx="85">
                  <c:v>6.9696969696969697</c:v>
                </c:pt>
                <c:pt idx="86">
                  <c:v>3.9823008849557522</c:v>
                </c:pt>
                <c:pt idx="87">
                  <c:v>6.5286624203821653</c:v>
                </c:pt>
                <c:pt idx="88">
                  <c:v>5.4263565891472867</c:v>
                </c:pt>
                <c:pt idx="89">
                  <c:v>3.2142857142857144</c:v>
                </c:pt>
                <c:pt idx="90">
                  <c:v>2.5917926565874732</c:v>
                </c:pt>
                <c:pt idx="91">
                  <c:v>3.4855769230769229</c:v>
                </c:pt>
                <c:pt idx="92">
                  <c:v>3.3850493653032441</c:v>
                </c:pt>
                <c:pt idx="93">
                  <c:v>1.4829142488716958</c:v>
                </c:pt>
                <c:pt idx="94">
                  <c:v>1.9203413940256044</c:v>
                </c:pt>
                <c:pt idx="95">
                  <c:v>3.6363636363636362</c:v>
                </c:pt>
                <c:pt idx="96">
                  <c:v>0</c:v>
                </c:pt>
                <c:pt idx="97">
                  <c:v>2.2026431718061672</c:v>
                </c:pt>
                <c:pt idx="98">
                  <c:v>2.6184538653366585</c:v>
                </c:pt>
                <c:pt idx="99">
                  <c:v>4.5012165450121655</c:v>
                </c:pt>
                <c:pt idx="100">
                  <c:v>4.1251778093883358</c:v>
                </c:pt>
                <c:pt idx="101">
                  <c:v>2.347826086956522</c:v>
                </c:pt>
                <c:pt idx="102">
                  <c:v>1.8832391713747645</c:v>
                </c:pt>
                <c:pt idx="103">
                  <c:v>1.5151515151515151</c:v>
                </c:pt>
                <c:pt idx="104">
                  <c:v>1.25</c:v>
                </c:pt>
                <c:pt idx="105">
                  <c:v>4.8223350253807107</c:v>
                </c:pt>
                <c:pt idx="106">
                  <c:v>3.225806451612903</c:v>
                </c:pt>
                <c:pt idx="107">
                  <c:v>2.8083028083028081</c:v>
                </c:pt>
                <c:pt idx="108">
                  <c:v>3.1120331950207469</c:v>
                </c:pt>
                <c:pt idx="109">
                  <c:v>5.5555555555555554</c:v>
                </c:pt>
                <c:pt idx="110">
                  <c:v>3.2476319350473615</c:v>
                </c:pt>
                <c:pt idx="111">
                  <c:v>2.4058577405857742</c:v>
                </c:pt>
                <c:pt idx="112">
                  <c:v>3.75</c:v>
                </c:pt>
                <c:pt idx="113">
                  <c:v>2.5728987993138936</c:v>
                </c:pt>
                <c:pt idx="114">
                  <c:v>3.2482598607888633</c:v>
                </c:pt>
                <c:pt idx="115">
                  <c:v>2.9487179487179489</c:v>
                </c:pt>
                <c:pt idx="116">
                  <c:v>3.3512064343163539</c:v>
                </c:pt>
                <c:pt idx="117">
                  <c:v>4.0462427745664744</c:v>
                </c:pt>
                <c:pt idx="118">
                  <c:v>0</c:v>
                </c:pt>
                <c:pt idx="119">
                  <c:v>3.0335861321776814</c:v>
                </c:pt>
                <c:pt idx="120">
                  <c:v>3.0567685589519651</c:v>
                </c:pt>
                <c:pt idx="121">
                  <c:v>2.1452145214521452</c:v>
                </c:pt>
                <c:pt idx="122">
                  <c:v>4.2042042042042045</c:v>
                </c:pt>
                <c:pt idx="123">
                  <c:v>5.1063829787234045</c:v>
                </c:pt>
                <c:pt idx="124">
                  <c:v>2.9003783102143759</c:v>
                </c:pt>
                <c:pt idx="125">
                  <c:v>4.3041606886657098</c:v>
                </c:pt>
                <c:pt idx="126">
                  <c:v>2.79126213592233</c:v>
                </c:pt>
                <c:pt idx="127">
                  <c:v>3.3287101248266295</c:v>
                </c:pt>
                <c:pt idx="128">
                  <c:v>4.507042253521127</c:v>
                </c:pt>
                <c:pt idx="129">
                  <c:v>2.2388059701492535</c:v>
                </c:pt>
                <c:pt idx="130">
                  <c:v>3.3980582524271843</c:v>
                </c:pt>
                <c:pt idx="131">
                  <c:v>4.1580041580041582</c:v>
                </c:pt>
                <c:pt idx="132">
                  <c:v>4.6653144016227177</c:v>
                </c:pt>
                <c:pt idx="133">
                  <c:v>4.1493775933609962</c:v>
                </c:pt>
                <c:pt idx="134">
                  <c:v>3.053435114503817</c:v>
                </c:pt>
                <c:pt idx="135">
                  <c:v>2.9646522234891677</c:v>
                </c:pt>
                <c:pt idx="136">
                  <c:v>3.3628318584070795</c:v>
                </c:pt>
                <c:pt idx="137">
                  <c:v>1.9709543568464731</c:v>
                </c:pt>
                <c:pt idx="138">
                  <c:v>4.0259740259740262</c:v>
                </c:pt>
                <c:pt idx="139">
                  <c:v>2.6917900403768504</c:v>
                </c:pt>
                <c:pt idx="140">
                  <c:v>0.79428117553613975</c:v>
                </c:pt>
                <c:pt idx="141">
                  <c:v>4.9346879535558781</c:v>
                </c:pt>
                <c:pt idx="142">
                  <c:v>2.6481715006305171</c:v>
                </c:pt>
                <c:pt idx="143">
                  <c:v>3.0726256983240225</c:v>
                </c:pt>
                <c:pt idx="144">
                  <c:v>2.4390243902439024</c:v>
                </c:pt>
                <c:pt idx="145">
                  <c:v>1.5118790496760259</c:v>
                </c:pt>
                <c:pt idx="146">
                  <c:v>1.5625</c:v>
                </c:pt>
                <c:pt idx="147">
                  <c:v>4.1335453100158981</c:v>
                </c:pt>
                <c:pt idx="148">
                  <c:v>2.6378896882494005</c:v>
                </c:pt>
                <c:pt idx="149">
                  <c:v>2.8436018957345972</c:v>
                </c:pt>
                <c:pt idx="150">
                  <c:v>4.7413793103448274</c:v>
                </c:pt>
                <c:pt idx="151">
                  <c:v>3.629032258064516</c:v>
                </c:pt>
                <c:pt idx="152">
                  <c:v>2.422145328719723</c:v>
                </c:pt>
                <c:pt idx="153">
                  <c:v>1.5904572564612327</c:v>
                </c:pt>
                <c:pt idx="154">
                  <c:v>2.821869488536155</c:v>
                </c:pt>
                <c:pt idx="155">
                  <c:v>3.7701974865350092</c:v>
                </c:pt>
                <c:pt idx="156">
                  <c:v>3.1496062992125986</c:v>
                </c:pt>
                <c:pt idx="157">
                  <c:v>3.007518796992481</c:v>
                </c:pt>
                <c:pt idx="158">
                  <c:v>4.166666666666667</c:v>
                </c:pt>
                <c:pt idx="159">
                  <c:v>2.6315789473684212</c:v>
                </c:pt>
                <c:pt idx="160">
                  <c:v>1.4553014553014554</c:v>
                </c:pt>
                <c:pt idx="161">
                  <c:v>1.6602809706257982</c:v>
                </c:pt>
                <c:pt idx="162">
                  <c:v>2.8037383177570092</c:v>
                </c:pt>
                <c:pt idx="163">
                  <c:v>2.7633851468048358</c:v>
                </c:pt>
                <c:pt idx="164">
                  <c:v>3.2432432432432434</c:v>
                </c:pt>
                <c:pt idx="165">
                  <c:v>4.0128410914927768</c:v>
                </c:pt>
                <c:pt idx="166">
                  <c:v>2.8513238289205702</c:v>
                </c:pt>
                <c:pt idx="167">
                  <c:v>2.7833001988071571</c:v>
                </c:pt>
                <c:pt idx="168">
                  <c:v>2.3192360163710779</c:v>
                </c:pt>
                <c:pt idx="169">
                  <c:v>3.125</c:v>
                </c:pt>
                <c:pt idx="170">
                  <c:v>1.4234875444839858</c:v>
                </c:pt>
                <c:pt idx="171">
                  <c:v>2.3121387283236996</c:v>
                </c:pt>
                <c:pt idx="172">
                  <c:v>2.7548209366391183</c:v>
                </c:pt>
                <c:pt idx="173">
                  <c:v>4.7493403693931402</c:v>
                </c:pt>
                <c:pt idx="174">
                  <c:v>3.5616438356164384</c:v>
                </c:pt>
                <c:pt idx="175">
                  <c:v>2.3049645390070923</c:v>
                </c:pt>
                <c:pt idx="176">
                  <c:v>3.1094527363184081</c:v>
                </c:pt>
                <c:pt idx="177">
                  <c:v>0.94722598105548039</c:v>
                </c:pt>
                <c:pt idx="178">
                  <c:v>1.7543859649122806</c:v>
                </c:pt>
                <c:pt idx="179">
                  <c:v>6.7924528301886795</c:v>
                </c:pt>
                <c:pt idx="180">
                  <c:v>5.8992805755395681</c:v>
                </c:pt>
                <c:pt idx="181">
                  <c:v>3.515625</c:v>
                </c:pt>
              </c:numCache>
            </c:numRef>
          </c:yVal>
          <c:bubbleSize>
            <c:numRef>
              <c:f>'Мособлдума партии'!$J$2:$J$183</c:f>
              <c:numCache>
                <c:formatCode>General</c:formatCode>
                <c:ptCount val="182"/>
                <c:pt idx="0">
                  <c:v>2451</c:v>
                </c:pt>
                <c:pt idx="1">
                  <c:v>1792</c:v>
                </c:pt>
                <c:pt idx="2">
                  <c:v>1987</c:v>
                </c:pt>
                <c:pt idx="3">
                  <c:v>2122</c:v>
                </c:pt>
                <c:pt idx="4">
                  <c:v>1909</c:v>
                </c:pt>
                <c:pt idx="5">
                  <c:v>1948</c:v>
                </c:pt>
                <c:pt idx="6">
                  <c:v>1966</c:v>
                </c:pt>
                <c:pt idx="7">
                  <c:v>1755</c:v>
                </c:pt>
                <c:pt idx="8">
                  <c:v>2053</c:v>
                </c:pt>
                <c:pt idx="9">
                  <c:v>2353</c:v>
                </c:pt>
                <c:pt idx="10">
                  <c:v>2236</c:v>
                </c:pt>
                <c:pt idx="11">
                  <c:v>878</c:v>
                </c:pt>
                <c:pt idx="12">
                  <c:v>1109</c:v>
                </c:pt>
                <c:pt idx="13">
                  <c:v>2346</c:v>
                </c:pt>
                <c:pt idx="14">
                  <c:v>1222</c:v>
                </c:pt>
                <c:pt idx="15">
                  <c:v>1986</c:v>
                </c:pt>
                <c:pt idx="16">
                  <c:v>391</c:v>
                </c:pt>
                <c:pt idx="17">
                  <c:v>1248</c:v>
                </c:pt>
                <c:pt idx="18">
                  <c:v>1716</c:v>
                </c:pt>
                <c:pt idx="19">
                  <c:v>2695</c:v>
                </c:pt>
                <c:pt idx="20">
                  <c:v>1800</c:v>
                </c:pt>
                <c:pt idx="21">
                  <c:v>2108</c:v>
                </c:pt>
                <c:pt idx="22">
                  <c:v>2215</c:v>
                </c:pt>
                <c:pt idx="23">
                  <c:v>2112</c:v>
                </c:pt>
                <c:pt idx="24">
                  <c:v>2268</c:v>
                </c:pt>
                <c:pt idx="25">
                  <c:v>2112</c:v>
                </c:pt>
                <c:pt idx="26">
                  <c:v>2016</c:v>
                </c:pt>
                <c:pt idx="27">
                  <c:v>2330</c:v>
                </c:pt>
                <c:pt idx="28">
                  <c:v>1867</c:v>
                </c:pt>
                <c:pt idx="29">
                  <c:v>1777</c:v>
                </c:pt>
                <c:pt idx="30">
                  <c:v>1121</c:v>
                </c:pt>
                <c:pt idx="31">
                  <c:v>2249</c:v>
                </c:pt>
                <c:pt idx="32">
                  <c:v>1262</c:v>
                </c:pt>
                <c:pt idx="33">
                  <c:v>553</c:v>
                </c:pt>
                <c:pt idx="34">
                  <c:v>932</c:v>
                </c:pt>
                <c:pt idx="35">
                  <c:v>2579</c:v>
                </c:pt>
                <c:pt idx="36">
                  <c:v>1659</c:v>
                </c:pt>
                <c:pt idx="37">
                  <c:v>1947</c:v>
                </c:pt>
                <c:pt idx="38">
                  <c:v>857</c:v>
                </c:pt>
                <c:pt idx="39">
                  <c:v>1412</c:v>
                </c:pt>
                <c:pt idx="40">
                  <c:v>2047</c:v>
                </c:pt>
                <c:pt idx="41">
                  <c:v>536</c:v>
                </c:pt>
                <c:pt idx="42">
                  <c:v>2687</c:v>
                </c:pt>
                <c:pt idx="43">
                  <c:v>2348</c:v>
                </c:pt>
                <c:pt idx="44">
                  <c:v>2383</c:v>
                </c:pt>
                <c:pt idx="45">
                  <c:v>1001</c:v>
                </c:pt>
                <c:pt idx="46">
                  <c:v>439</c:v>
                </c:pt>
                <c:pt idx="47">
                  <c:v>1596</c:v>
                </c:pt>
                <c:pt idx="48">
                  <c:v>1548</c:v>
                </c:pt>
                <c:pt idx="49">
                  <c:v>2222</c:v>
                </c:pt>
                <c:pt idx="50">
                  <c:v>1888</c:v>
                </c:pt>
                <c:pt idx="51">
                  <c:v>1665</c:v>
                </c:pt>
                <c:pt idx="52">
                  <c:v>1691</c:v>
                </c:pt>
                <c:pt idx="53">
                  <c:v>517</c:v>
                </c:pt>
                <c:pt idx="54">
                  <c:v>1745</c:v>
                </c:pt>
                <c:pt idx="55">
                  <c:v>1453</c:v>
                </c:pt>
                <c:pt idx="56">
                  <c:v>1496</c:v>
                </c:pt>
                <c:pt idx="57">
                  <c:v>2669</c:v>
                </c:pt>
                <c:pt idx="58">
                  <c:v>2799</c:v>
                </c:pt>
                <c:pt idx="59">
                  <c:v>2544</c:v>
                </c:pt>
                <c:pt idx="60">
                  <c:v>1670</c:v>
                </c:pt>
                <c:pt idx="61">
                  <c:v>1891</c:v>
                </c:pt>
                <c:pt idx="62">
                  <c:v>1984</c:v>
                </c:pt>
                <c:pt idx="63">
                  <c:v>628</c:v>
                </c:pt>
                <c:pt idx="64">
                  <c:v>1469</c:v>
                </c:pt>
                <c:pt idx="65">
                  <c:v>2564</c:v>
                </c:pt>
                <c:pt idx="66">
                  <c:v>711</c:v>
                </c:pt>
                <c:pt idx="67">
                  <c:v>676</c:v>
                </c:pt>
                <c:pt idx="68">
                  <c:v>1747</c:v>
                </c:pt>
                <c:pt idx="69">
                  <c:v>1907</c:v>
                </c:pt>
                <c:pt idx="70">
                  <c:v>1194</c:v>
                </c:pt>
                <c:pt idx="71">
                  <c:v>1129</c:v>
                </c:pt>
                <c:pt idx="72">
                  <c:v>1498</c:v>
                </c:pt>
                <c:pt idx="73">
                  <c:v>1859</c:v>
                </c:pt>
                <c:pt idx="74">
                  <c:v>1315</c:v>
                </c:pt>
                <c:pt idx="75">
                  <c:v>1300</c:v>
                </c:pt>
                <c:pt idx="76">
                  <c:v>2038</c:v>
                </c:pt>
                <c:pt idx="77">
                  <c:v>1190</c:v>
                </c:pt>
                <c:pt idx="78">
                  <c:v>1521</c:v>
                </c:pt>
                <c:pt idx="79">
                  <c:v>710</c:v>
                </c:pt>
                <c:pt idx="80">
                  <c:v>1525</c:v>
                </c:pt>
                <c:pt idx="81">
                  <c:v>1495</c:v>
                </c:pt>
                <c:pt idx="82">
                  <c:v>1808</c:v>
                </c:pt>
                <c:pt idx="83">
                  <c:v>2012</c:v>
                </c:pt>
                <c:pt idx="84">
                  <c:v>1681</c:v>
                </c:pt>
                <c:pt idx="85">
                  <c:v>1685</c:v>
                </c:pt>
                <c:pt idx="86">
                  <c:v>1529</c:v>
                </c:pt>
                <c:pt idx="87">
                  <c:v>1800</c:v>
                </c:pt>
                <c:pt idx="88">
                  <c:v>1896</c:v>
                </c:pt>
                <c:pt idx="89">
                  <c:v>1963</c:v>
                </c:pt>
                <c:pt idx="90">
                  <c:v>1902</c:v>
                </c:pt>
                <c:pt idx="91">
                  <c:v>1647</c:v>
                </c:pt>
                <c:pt idx="92">
                  <c:v>1316</c:v>
                </c:pt>
                <c:pt idx="93">
                  <c:v>2424</c:v>
                </c:pt>
                <c:pt idx="94">
                  <c:v>2162</c:v>
                </c:pt>
                <c:pt idx="95">
                  <c:v>1230</c:v>
                </c:pt>
                <c:pt idx="96">
                  <c:v>901</c:v>
                </c:pt>
                <c:pt idx="97">
                  <c:v>2387</c:v>
                </c:pt>
                <c:pt idx="98">
                  <c:v>1535</c:v>
                </c:pt>
                <c:pt idx="99">
                  <c:v>2645</c:v>
                </c:pt>
                <c:pt idx="100">
                  <c:v>2043</c:v>
                </c:pt>
                <c:pt idx="101">
                  <c:v>1990</c:v>
                </c:pt>
                <c:pt idx="102">
                  <c:v>988</c:v>
                </c:pt>
                <c:pt idx="103">
                  <c:v>132</c:v>
                </c:pt>
                <c:pt idx="104">
                  <c:v>83</c:v>
                </c:pt>
                <c:pt idx="105">
                  <c:v>1763</c:v>
                </c:pt>
                <c:pt idx="106">
                  <c:v>1063</c:v>
                </c:pt>
                <c:pt idx="107">
                  <c:v>2316</c:v>
                </c:pt>
                <c:pt idx="108">
                  <c:v>1250</c:v>
                </c:pt>
                <c:pt idx="109">
                  <c:v>1265</c:v>
                </c:pt>
                <c:pt idx="110">
                  <c:v>1736</c:v>
                </c:pt>
                <c:pt idx="111">
                  <c:v>2586</c:v>
                </c:pt>
                <c:pt idx="112">
                  <c:v>1243</c:v>
                </c:pt>
                <c:pt idx="113">
                  <c:v>1451</c:v>
                </c:pt>
                <c:pt idx="114">
                  <c:v>1179</c:v>
                </c:pt>
                <c:pt idx="115">
                  <c:v>2285</c:v>
                </c:pt>
                <c:pt idx="116">
                  <c:v>1678</c:v>
                </c:pt>
                <c:pt idx="117">
                  <c:v>2025</c:v>
                </c:pt>
                <c:pt idx="118">
                  <c:v>0</c:v>
                </c:pt>
                <c:pt idx="119">
                  <c:v>2430</c:v>
                </c:pt>
                <c:pt idx="120">
                  <c:v>2209</c:v>
                </c:pt>
                <c:pt idx="121">
                  <c:v>2330</c:v>
                </c:pt>
                <c:pt idx="122">
                  <c:v>2013</c:v>
                </c:pt>
                <c:pt idx="123">
                  <c:v>2023</c:v>
                </c:pt>
                <c:pt idx="124">
                  <c:v>2032</c:v>
                </c:pt>
                <c:pt idx="125">
                  <c:v>1759</c:v>
                </c:pt>
                <c:pt idx="126">
                  <c:v>2293</c:v>
                </c:pt>
                <c:pt idx="127">
                  <c:v>2176</c:v>
                </c:pt>
                <c:pt idx="128">
                  <c:v>1998</c:v>
                </c:pt>
                <c:pt idx="129">
                  <c:v>1307</c:v>
                </c:pt>
                <c:pt idx="130">
                  <c:v>1453</c:v>
                </c:pt>
                <c:pt idx="131">
                  <c:v>1520</c:v>
                </c:pt>
                <c:pt idx="132">
                  <c:v>1462</c:v>
                </c:pt>
                <c:pt idx="133">
                  <c:v>1433</c:v>
                </c:pt>
                <c:pt idx="134">
                  <c:v>1850</c:v>
                </c:pt>
                <c:pt idx="135">
                  <c:v>2111</c:v>
                </c:pt>
                <c:pt idx="136">
                  <c:v>1035</c:v>
                </c:pt>
                <c:pt idx="137">
                  <c:v>1915</c:v>
                </c:pt>
                <c:pt idx="138">
                  <c:v>2290</c:v>
                </c:pt>
                <c:pt idx="139">
                  <c:v>2253</c:v>
                </c:pt>
                <c:pt idx="140">
                  <c:v>1800</c:v>
                </c:pt>
                <c:pt idx="141">
                  <c:v>2162</c:v>
                </c:pt>
                <c:pt idx="142">
                  <c:v>2058</c:v>
                </c:pt>
                <c:pt idx="143">
                  <c:v>2109</c:v>
                </c:pt>
                <c:pt idx="144">
                  <c:v>1251</c:v>
                </c:pt>
                <c:pt idx="145">
                  <c:v>1278</c:v>
                </c:pt>
                <c:pt idx="146">
                  <c:v>981</c:v>
                </c:pt>
                <c:pt idx="147">
                  <c:v>1911</c:v>
                </c:pt>
                <c:pt idx="148">
                  <c:v>2296</c:v>
                </c:pt>
                <c:pt idx="149">
                  <c:v>2186</c:v>
                </c:pt>
                <c:pt idx="150">
                  <c:v>2642</c:v>
                </c:pt>
                <c:pt idx="151">
                  <c:v>1775</c:v>
                </c:pt>
                <c:pt idx="152">
                  <c:v>1894</c:v>
                </c:pt>
                <c:pt idx="153">
                  <c:v>2070</c:v>
                </c:pt>
                <c:pt idx="154">
                  <c:v>2196</c:v>
                </c:pt>
                <c:pt idx="155">
                  <c:v>2551</c:v>
                </c:pt>
                <c:pt idx="156">
                  <c:v>2922</c:v>
                </c:pt>
                <c:pt idx="157">
                  <c:v>752</c:v>
                </c:pt>
                <c:pt idx="158">
                  <c:v>793</c:v>
                </c:pt>
                <c:pt idx="159">
                  <c:v>1731</c:v>
                </c:pt>
                <c:pt idx="160">
                  <c:v>1086</c:v>
                </c:pt>
                <c:pt idx="161">
                  <c:v>3026</c:v>
                </c:pt>
                <c:pt idx="162">
                  <c:v>2514</c:v>
                </c:pt>
                <c:pt idx="163">
                  <c:v>2308</c:v>
                </c:pt>
                <c:pt idx="164">
                  <c:v>2212</c:v>
                </c:pt>
                <c:pt idx="165">
                  <c:v>2419</c:v>
                </c:pt>
                <c:pt idx="166">
                  <c:v>2132</c:v>
                </c:pt>
                <c:pt idx="167">
                  <c:v>2359</c:v>
                </c:pt>
                <c:pt idx="168">
                  <c:v>2958</c:v>
                </c:pt>
                <c:pt idx="169">
                  <c:v>749</c:v>
                </c:pt>
                <c:pt idx="170">
                  <c:v>2663</c:v>
                </c:pt>
                <c:pt idx="171">
                  <c:v>1277</c:v>
                </c:pt>
                <c:pt idx="172">
                  <c:v>1094</c:v>
                </c:pt>
                <c:pt idx="173">
                  <c:v>1232</c:v>
                </c:pt>
                <c:pt idx="174">
                  <c:v>1023</c:v>
                </c:pt>
                <c:pt idx="175">
                  <c:v>1695</c:v>
                </c:pt>
                <c:pt idx="176">
                  <c:v>1677</c:v>
                </c:pt>
                <c:pt idx="177">
                  <c:v>2354</c:v>
                </c:pt>
                <c:pt idx="178">
                  <c:v>1806</c:v>
                </c:pt>
                <c:pt idx="179">
                  <c:v>1294</c:v>
                </c:pt>
                <c:pt idx="180">
                  <c:v>1640</c:v>
                </c:pt>
                <c:pt idx="181">
                  <c:v>1068</c:v>
                </c:pt>
              </c:numCache>
            </c:numRef>
          </c:bubbleSize>
          <c:bubble3D val="0"/>
          <c:extLst>
            <c:ext xmlns:c16="http://schemas.microsoft.com/office/drawing/2014/chart" uri="{C3380CC4-5D6E-409C-BE32-E72D297353CC}">
              <c16:uniqueId val="{00000008-2D10-4E5E-9489-B18E1CFA942D}"/>
            </c:ext>
          </c:extLst>
        </c:ser>
        <c:ser>
          <c:idx val="5"/>
          <c:order val="9"/>
          <c:tx>
            <c:strRef>
              <c:f>'Мособлдума партии'!$AT$1</c:f>
              <c:strCache>
                <c:ptCount val="1"/>
                <c:pt idx="0">
                  <c:v>СР</c:v>
                </c:pt>
              </c:strCache>
            </c:strRef>
          </c:tx>
          <c:spPr>
            <a:solidFill>
              <a:srgbClr val="6666FF">
                <a:alpha val="50000"/>
              </a:srgbClr>
            </a:solidFill>
            <a:ln w="25400"/>
          </c:spPr>
          <c:invertIfNegative val="0"/>
          <c:xVal>
            <c:numRef>
              <c:f>'Мособлдума партии'!$O$2:$O$183</c:f>
              <c:numCache>
                <c:formatCode>0.0</c:formatCode>
                <c:ptCount val="182"/>
                <c:pt idx="0">
                  <c:v>65.483476132190944</c:v>
                </c:pt>
                <c:pt idx="1">
                  <c:v>53.515625</c:v>
                </c:pt>
                <c:pt idx="2">
                  <c:v>54.8565676899849</c:v>
                </c:pt>
                <c:pt idx="3">
                  <c:v>54.665409990574929</c:v>
                </c:pt>
                <c:pt idx="4">
                  <c:v>48.402304871660554</c:v>
                </c:pt>
                <c:pt idx="5">
                  <c:v>50.359342915811091</c:v>
                </c:pt>
                <c:pt idx="6">
                  <c:v>59.511698880976603</c:v>
                </c:pt>
                <c:pt idx="7">
                  <c:v>73.105413105413106</c:v>
                </c:pt>
                <c:pt idx="8">
                  <c:v>71.602532878714072</c:v>
                </c:pt>
                <c:pt idx="9">
                  <c:v>36.124096897577559</c:v>
                </c:pt>
                <c:pt idx="10">
                  <c:v>25.402504472271914</c:v>
                </c:pt>
                <c:pt idx="11">
                  <c:v>72.779043280182236</c:v>
                </c:pt>
                <c:pt idx="12">
                  <c:v>50.76645626690712</c:v>
                </c:pt>
                <c:pt idx="13">
                  <c:v>35.336743393009378</c:v>
                </c:pt>
                <c:pt idx="14">
                  <c:v>46.317512274959086</c:v>
                </c:pt>
                <c:pt idx="15">
                  <c:v>29.405840886203425</c:v>
                </c:pt>
                <c:pt idx="16">
                  <c:v>43.734015345268546</c:v>
                </c:pt>
                <c:pt idx="17">
                  <c:v>31.410256410256409</c:v>
                </c:pt>
                <c:pt idx="18">
                  <c:v>48.484848484848484</c:v>
                </c:pt>
                <c:pt idx="19">
                  <c:v>35.881261595547308</c:v>
                </c:pt>
                <c:pt idx="20">
                  <c:v>24.388888888888889</c:v>
                </c:pt>
                <c:pt idx="21">
                  <c:v>46.110056925996204</c:v>
                </c:pt>
                <c:pt idx="22">
                  <c:v>30.428893905191874</c:v>
                </c:pt>
                <c:pt idx="23">
                  <c:v>35.842803030303031</c:v>
                </c:pt>
                <c:pt idx="24">
                  <c:v>30.996472663139329</c:v>
                </c:pt>
                <c:pt idx="25">
                  <c:v>37.5</c:v>
                </c:pt>
                <c:pt idx="26">
                  <c:v>45.486111111111114</c:v>
                </c:pt>
                <c:pt idx="27">
                  <c:v>30.472103004291846</c:v>
                </c:pt>
                <c:pt idx="28">
                  <c:v>38.564542046063202</c:v>
                </c:pt>
                <c:pt idx="29">
                  <c:v>34.21496904895892</c:v>
                </c:pt>
                <c:pt idx="30">
                  <c:v>38.358608385370204</c:v>
                </c:pt>
                <c:pt idx="31">
                  <c:v>29.568697198755004</c:v>
                </c:pt>
                <c:pt idx="32">
                  <c:v>38.906497622820922</c:v>
                </c:pt>
                <c:pt idx="33">
                  <c:v>60.397830018083184</c:v>
                </c:pt>
                <c:pt idx="34">
                  <c:v>40.557939914163093</c:v>
                </c:pt>
                <c:pt idx="35">
                  <c:v>60.643660333462584</c:v>
                </c:pt>
                <c:pt idx="36">
                  <c:v>80.892103676913806</c:v>
                </c:pt>
                <c:pt idx="37">
                  <c:v>37.185413456599896</c:v>
                </c:pt>
                <c:pt idx="38">
                  <c:v>39.089848308051344</c:v>
                </c:pt>
                <c:pt idx="39">
                  <c:v>39.518413597733712</c:v>
                </c:pt>
                <c:pt idx="40">
                  <c:v>34.831460674157306</c:v>
                </c:pt>
                <c:pt idx="41">
                  <c:v>30.410447761194028</c:v>
                </c:pt>
                <c:pt idx="42">
                  <c:v>33.382954968366207</c:v>
                </c:pt>
                <c:pt idx="43">
                  <c:v>33.17717206132879</c:v>
                </c:pt>
                <c:pt idx="44">
                  <c:v>66.638690725975664</c:v>
                </c:pt>
                <c:pt idx="45">
                  <c:v>76.323676323676324</c:v>
                </c:pt>
                <c:pt idx="46">
                  <c:v>63.553530751708429</c:v>
                </c:pt>
                <c:pt idx="47">
                  <c:v>38.345864661654133</c:v>
                </c:pt>
                <c:pt idx="48">
                  <c:v>46.447028423772608</c:v>
                </c:pt>
                <c:pt idx="49">
                  <c:v>54.770477047704773</c:v>
                </c:pt>
                <c:pt idx="50">
                  <c:v>39.671610169491522</c:v>
                </c:pt>
                <c:pt idx="51">
                  <c:v>36.756756756756758</c:v>
                </c:pt>
                <c:pt idx="52">
                  <c:v>41.573033707865171</c:v>
                </c:pt>
                <c:pt idx="53">
                  <c:v>77.949709864603477</c:v>
                </c:pt>
                <c:pt idx="54">
                  <c:v>33.753581661891118</c:v>
                </c:pt>
                <c:pt idx="55">
                  <c:v>33.72333103922918</c:v>
                </c:pt>
                <c:pt idx="56">
                  <c:v>42.37967914438503</c:v>
                </c:pt>
                <c:pt idx="57">
                  <c:v>34.80704383664294</c:v>
                </c:pt>
                <c:pt idx="58">
                  <c:v>27.331189710610932</c:v>
                </c:pt>
                <c:pt idx="59">
                  <c:v>40.369496855345915</c:v>
                </c:pt>
                <c:pt idx="60">
                  <c:v>36.407185628742518</c:v>
                </c:pt>
                <c:pt idx="61">
                  <c:v>43.839238498149129</c:v>
                </c:pt>
                <c:pt idx="62">
                  <c:v>26.411290322580644</c:v>
                </c:pt>
                <c:pt idx="63">
                  <c:v>26.433121019108281</c:v>
                </c:pt>
                <c:pt idx="64">
                  <c:v>29.407760381211709</c:v>
                </c:pt>
                <c:pt idx="65">
                  <c:v>56.201248049922</c:v>
                </c:pt>
                <c:pt idx="66">
                  <c:v>64.838255977496488</c:v>
                </c:pt>
                <c:pt idx="67">
                  <c:v>51.035502958579883</c:v>
                </c:pt>
                <c:pt idx="68">
                  <c:v>44.304522037779051</c:v>
                </c:pt>
                <c:pt idx="69">
                  <c:v>52.071316203460931</c:v>
                </c:pt>
                <c:pt idx="70">
                  <c:v>34.757118927973202</c:v>
                </c:pt>
                <c:pt idx="71">
                  <c:v>40.566873339238263</c:v>
                </c:pt>
                <c:pt idx="72">
                  <c:v>38.851802403204275</c:v>
                </c:pt>
                <c:pt idx="73">
                  <c:v>20.387305002689619</c:v>
                </c:pt>
                <c:pt idx="74">
                  <c:v>33.460076045627375</c:v>
                </c:pt>
                <c:pt idx="75">
                  <c:v>48.615384615384613</c:v>
                </c:pt>
                <c:pt idx="76">
                  <c:v>53.680078508341509</c:v>
                </c:pt>
                <c:pt idx="77">
                  <c:v>64.369747899159663</c:v>
                </c:pt>
                <c:pt idx="78">
                  <c:v>48.849441157133462</c:v>
                </c:pt>
                <c:pt idx="79">
                  <c:v>40.281690140845072</c:v>
                </c:pt>
                <c:pt idx="80">
                  <c:v>50.819672131147541</c:v>
                </c:pt>
                <c:pt idx="81">
                  <c:v>39.598662207357862</c:v>
                </c:pt>
                <c:pt idx="82">
                  <c:v>50.497787610619469</c:v>
                </c:pt>
                <c:pt idx="83">
                  <c:v>44.284294234592444</c:v>
                </c:pt>
                <c:pt idx="84">
                  <c:v>40.035693039857229</c:v>
                </c:pt>
                <c:pt idx="85">
                  <c:v>39.169139465875368</c:v>
                </c:pt>
                <c:pt idx="86">
                  <c:v>44.34270765206017</c:v>
                </c:pt>
                <c:pt idx="87">
                  <c:v>34.888888888888886</c:v>
                </c:pt>
                <c:pt idx="88">
                  <c:v>36.497890295358651</c:v>
                </c:pt>
                <c:pt idx="89">
                  <c:v>42.791645440652061</c:v>
                </c:pt>
                <c:pt idx="90">
                  <c:v>48.685594111461619</c:v>
                </c:pt>
                <c:pt idx="91">
                  <c:v>50.516089860352153</c:v>
                </c:pt>
                <c:pt idx="92">
                  <c:v>53.875379939209729</c:v>
                </c:pt>
                <c:pt idx="93">
                  <c:v>63.985148514851488</c:v>
                </c:pt>
                <c:pt idx="94">
                  <c:v>65.171137835337646</c:v>
                </c:pt>
                <c:pt idx="95">
                  <c:v>49.1869918699187</c:v>
                </c:pt>
                <c:pt idx="96">
                  <c:v>53.274139844617089</c:v>
                </c:pt>
                <c:pt idx="97">
                  <c:v>47.549224968579807</c:v>
                </c:pt>
                <c:pt idx="98">
                  <c:v>52.247557003257327</c:v>
                </c:pt>
                <c:pt idx="99">
                  <c:v>31.077504725897921</c:v>
                </c:pt>
                <c:pt idx="100">
                  <c:v>34.410181106216349</c:v>
                </c:pt>
                <c:pt idx="101">
                  <c:v>58.090452261306531</c:v>
                </c:pt>
                <c:pt idx="102">
                  <c:v>54.251012145748987</c:v>
                </c:pt>
                <c:pt idx="103">
                  <c:v>100</c:v>
                </c:pt>
                <c:pt idx="104">
                  <c:v>96.385542168674704</c:v>
                </c:pt>
                <c:pt idx="105">
                  <c:v>44.696539988655701</c:v>
                </c:pt>
                <c:pt idx="106">
                  <c:v>34.995296331138285</c:v>
                </c:pt>
                <c:pt idx="107">
                  <c:v>35.362694300518136</c:v>
                </c:pt>
                <c:pt idx="108">
                  <c:v>39.04</c:v>
                </c:pt>
                <c:pt idx="109">
                  <c:v>35.573122529644266</c:v>
                </c:pt>
                <c:pt idx="110">
                  <c:v>44.124423963133637</c:v>
                </c:pt>
                <c:pt idx="111">
                  <c:v>38.940448569218873</c:v>
                </c:pt>
                <c:pt idx="112">
                  <c:v>38.696701528559935</c:v>
                </c:pt>
                <c:pt idx="113">
                  <c:v>40.17918676774638</c:v>
                </c:pt>
                <c:pt idx="114">
                  <c:v>36.726039016115351</c:v>
                </c:pt>
                <c:pt idx="115">
                  <c:v>34.266958424507656</c:v>
                </c:pt>
                <c:pt idx="116">
                  <c:v>44.636471990464841</c:v>
                </c:pt>
                <c:pt idx="117">
                  <c:v>34.172839506172842</c:v>
                </c:pt>
                <c:pt idx="118">
                  <c:v>0</c:v>
                </c:pt>
                <c:pt idx="119">
                  <c:v>38.02469135802469</c:v>
                </c:pt>
                <c:pt idx="120">
                  <c:v>31.100045269352648</c:v>
                </c:pt>
                <c:pt idx="121">
                  <c:v>52.017167381974247</c:v>
                </c:pt>
                <c:pt idx="122">
                  <c:v>34.624937903626432</c:v>
                </c:pt>
                <c:pt idx="123">
                  <c:v>35.096391497775578</c:v>
                </c:pt>
                <c:pt idx="124">
                  <c:v>42.913385826771652</c:v>
                </c:pt>
                <c:pt idx="125">
                  <c:v>39.681637293916999</c:v>
                </c:pt>
                <c:pt idx="126">
                  <c:v>35.935455734845178</c:v>
                </c:pt>
                <c:pt idx="127">
                  <c:v>33.134191176470587</c:v>
                </c:pt>
                <c:pt idx="128">
                  <c:v>35.535535535535537</c:v>
                </c:pt>
                <c:pt idx="129">
                  <c:v>41.009946442234124</c:v>
                </c:pt>
                <c:pt idx="130">
                  <c:v>70.199587061252586</c:v>
                </c:pt>
                <c:pt idx="131">
                  <c:v>31.644736842105264</c:v>
                </c:pt>
                <c:pt idx="132">
                  <c:v>33.720930232558139</c:v>
                </c:pt>
                <c:pt idx="133">
                  <c:v>33.635729239357993</c:v>
                </c:pt>
                <c:pt idx="134">
                  <c:v>28.324324324324323</c:v>
                </c:pt>
                <c:pt idx="135">
                  <c:v>41.544291804831836</c:v>
                </c:pt>
                <c:pt idx="136">
                  <c:v>54.589371980676326</c:v>
                </c:pt>
                <c:pt idx="137">
                  <c:v>50.391644908616186</c:v>
                </c:pt>
                <c:pt idx="138">
                  <c:v>35.37117903930131</c:v>
                </c:pt>
                <c:pt idx="139">
                  <c:v>32.978251220594764</c:v>
                </c:pt>
                <c:pt idx="140">
                  <c:v>69.944444444444443</c:v>
                </c:pt>
                <c:pt idx="141">
                  <c:v>31.868640148011099</c:v>
                </c:pt>
                <c:pt idx="142">
                  <c:v>39.067055393586003</c:v>
                </c:pt>
                <c:pt idx="143">
                  <c:v>35.988620199146517</c:v>
                </c:pt>
                <c:pt idx="144">
                  <c:v>29.496402877697843</c:v>
                </c:pt>
                <c:pt idx="145">
                  <c:v>36.228482003129891</c:v>
                </c:pt>
                <c:pt idx="146">
                  <c:v>32.619775739041792</c:v>
                </c:pt>
                <c:pt idx="147">
                  <c:v>32.914704343275773</c:v>
                </c:pt>
                <c:pt idx="148">
                  <c:v>36.454703832752614</c:v>
                </c:pt>
                <c:pt idx="149">
                  <c:v>38.655077767612077</c:v>
                </c:pt>
                <c:pt idx="150">
                  <c:v>26.343679031037095</c:v>
                </c:pt>
                <c:pt idx="151">
                  <c:v>27.943661971830984</c:v>
                </c:pt>
                <c:pt idx="152">
                  <c:v>30.517423442449843</c:v>
                </c:pt>
                <c:pt idx="153">
                  <c:v>24.29951690821256</c:v>
                </c:pt>
                <c:pt idx="154">
                  <c:v>25.819672131147541</c:v>
                </c:pt>
                <c:pt idx="155">
                  <c:v>21.834574676597413</c:v>
                </c:pt>
                <c:pt idx="156">
                  <c:v>30.424366872005475</c:v>
                </c:pt>
                <c:pt idx="157">
                  <c:v>53.324468085106382</c:v>
                </c:pt>
                <c:pt idx="158">
                  <c:v>50.189155107187894</c:v>
                </c:pt>
                <c:pt idx="159">
                  <c:v>31.138070479491624</c:v>
                </c:pt>
                <c:pt idx="160">
                  <c:v>44.290976058931861</c:v>
                </c:pt>
                <c:pt idx="161">
                  <c:v>25.94183740912095</c:v>
                </c:pt>
                <c:pt idx="162">
                  <c:v>21.28082736674622</c:v>
                </c:pt>
                <c:pt idx="163">
                  <c:v>25.129982668977469</c:v>
                </c:pt>
                <c:pt idx="164">
                  <c:v>25.090415913200722</c:v>
                </c:pt>
                <c:pt idx="165">
                  <c:v>25.754443985117817</c:v>
                </c:pt>
                <c:pt idx="166">
                  <c:v>23.076923076923077</c:v>
                </c:pt>
                <c:pt idx="167">
                  <c:v>21.449766850360323</c:v>
                </c:pt>
                <c:pt idx="168">
                  <c:v>24.780256930358352</c:v>
                </c:pt>
                <c:pt idx="169">
                  <c:v>17.890520694259013</c:v>
                </c:pt>
                <c:pt idx="170">
                  <c:v>21.104018024784079</c:v>
                </c:pt>
                <c:pt idx="171">
                  <c:v>40.642129992169146</c:v>
                </c:pt>
                <c:pt idx="172">
                  <c:v>33.180987202925046</c:v>
                </c:pt>
                <c:pt idx="173">
                  <c:v>30.762987012987011</c:v>
                </c:pt>
                <c:pt idx="174">
                  <c:v>35.679374389051809</c:v>
                </c:pt>
                <c:pt idx="175">
                  <c:v>37.286135693215343</c:v>
                </c:pt>
                <c:pt idx="176">
                  <c:v>47.942754919499109</c:v>
                </c:pt>
                <c:pt idx="177">
                  <c:v>62.786745964316054</c:v>
                </c:pt>
                <c:pt idx="178">
                  <c:v>31.561461794019934</c:v>
                </c:pt>
                <c:pt idx="179">
                  <c:v>40.958268933539415</c:v>
                </c:pt>
                <c:pt idx="180">
                  <c:v>42.378048780487802</c:v>
                </c:pt>
                <c:pt idx="181">
                  <c:v>23.970037453183522</c:v>
                </c:pt>
              </c:numCache>
            </c:numRef>
          </c:xVal>
          <c:yVal>
            <c:numRef>
              <c:f>'Мособлдума партии'!$AT$2:$AT$183</c:f>
              <c:numCache>
                <c:formatCode>0.0</c:formatCode>
                <c:ptCount val="182"/>
                <c:pt idx="0">
                  <c:v>7.4766355140186915</c:v>
                </c:pt>
                <c:pt idx="1">
                  <c:v>6.5899581589958158</c:v>
                </c:pt>
                <c:pt idx="2">
                  <c:v>1.1009174311926606</c:v>
                </c:pt>
                <c:pt idx="3">
                  <c:v>1.8166089965397925</c:v>
                </c:pt>
                <c:pt idx="4">
                  <c:v>9.8913043478260878</c:v>
                </c:pt>
                <c:pt idx="5">
                  <c:v>6.0265577119509706</c:v>
                </c:pt>
                <c:pt idx="6">
                  <c:v>5.8974358974358978</c:v>
                </c:pt>
                <c:pt idx="7">
                  <c:v>6.4364207221350078</c:v>
                </c:pt>
                <c:pt idx="8">
                  <c:v>5.5102040816326534</c:v>
                </c:pt>
                <c:pt idx="9">
                  <c:v>8.820023837902264</c:v>
                </c:pt>
                <c:pt idx="10">
                  <c:v>11.795774647887324</c:v>
                </c:pt>
                <c:pt idx="11">
                  <c:v>3.1298904538341157</c:v>
                </c:pt>
                <c:pt idx="12">
                  <c:v>6.9271758436944939</c:v>
                </c:pt>
                <c:pt idx="13">
                  <c:v>7.7201447527141136</c:v>
                </c:pt>
                <c:pt idx="14">
                  <c:v>9.5406360424028271</c:v>
                </c:pt>
                <c:pt idx="15">
                  <c:v>9.2465753424657535</c:v>
                </c:pt>
                <c:pt idx="16">
                  <c:v>5.8479532163742691</c:v>
                </c:pt>
                <c:pt idx="17">
                  <c:v>10.621761658031089</c:v>
                </c:pt>
                <c:pt idx="18">
                  <c:v>7.572115384615385</c:v>
                </c:pt>
                <c:pt idx="19">
                  <c:v>6.5149948293691828</c:v>
                </c:pt>
                <c:pt idx="20">
                  <c:v>7.2892938496583142</c:v>
                </c:pt>
                <c:pt idx="21">
                  <c:v>5.8641975308641978</c:v>
                </c:pt>
                <c:pt idx="22">
                  <c:v>8.0118694362017813</c:v>
                </c:pt>
                <c:pt idx="23">
                  <c:v>10.435931307793924</c:v>
                </c:pt>
                <c:pt idx="24">
                  <c:v>9.8290598290598297</c:v>
                </c:pt>
                <c:pt idx="25">
                  <c:v>8.2070707070707076</c:v>
                </c:pt>
                <c:pt idx="26">
                  <c:v>8.6150490730643394</c:v>
                </c:pt>
                <c:pt idx="27">
                  <c:v>6.666666666666667</c:v>
                </c:pt>
                <c:pt idx="28">
                  <c:v>6.983240223463687</c:v>
                </c:pt>
                <c:pt idx="29">
                  <c:v>8.8815789473684212</c:v>
                </c:pt>
                <c:pt idx="30">
                  <c:v>7.9069767441860463</c:v>
                </c:pt>
                <c:pt idx="31">
                  <c:v>8.1203007518797001</c:v>
                </c:pt>
                <c:pt idx="32">
                  <c:v>8.146639511201629</c:v>
                </c:pt>
                <c:pt idx="33">
                  <c:v>6.2874251497005984</c:v>
                </c:pt>
                <c:pt idx="34">
                  <c:v>5.5555555555555554</c:v>
                </c:pt>
                <c:pt idx="35">
                  <c:v>5.8184143222506393</c:v>
                </c:pt>
                <c:pt idx="36">
                  <c:v>4.0238450074515653</c:v>
                </c:pt>
                <c:pt idx="37">
                  <c:v>7.596685082872928</c:v>
                </c:pt>
                <c:pt idx="38">
                  <c:v>8.9552238805970141</c:v>
                </c:pt>
                <c:pt idx="39">
                  <c:v>7.7617328519855597</c:v>
                </c:pt>
                <c:pt idx="40">
                  <c:v>9.2352092352092345</c:v>
                </c:pt>
                <c:pt idx="41">
                  <c:v>5.5214723926380369</c:v>
                </c:pt>
                <c:pt idx="42">
                  <c:v>7.8037904124860651</c:v>
                </c:pt>
                <c:pt idx="43">
                  <c:v>9.7560975609756095</c:v>
                </c:pt>
                <c:pt idx="44">
                  <c:v>2.7112232030264818</c:v>
                </c:pt>
                <c:pt idx="45">
                  <c:v>1.5706806282722514</c:v>
                </c:pt>
                <c:pt idx="46">
                  <c:v>2.5089605734767026</c:v>
                </c:pt>
                <c:pt idx="47">
                  <c:v>7.6797385620915035</c:v>
                </c:pt>
                <c:pt idx="48">
                  <c:v>6.8150208623087618</c:v>
                </c:pt>
                <c:pt idx="49">
                  <c:v>5.5973266499582293</c:v>
                </c:pt>
                <c:pt idx="50">
                  <c:v>4.939919893190921</c:v>
                </c:pt>
                <c:pt idx="51">
                  <c:v>7.1895424836601309</c:v>
                </c:pt>
                <c:pt idx="52">
                  <c:v>7.539118065433855</c:v>
                </c:pt>
                <c:pt idx="53">
                  <c:v>5.4590570719602978</c:v>
                </c:pt>
                <c:pt idx="54">
                  <c:v>9.6938775510204085</c:v>
                </c:pt>
                <c:pt idx="55">
                  <c:v>12.653061224489797</c:v>
                </c:pt>
                <c:pt idx="56">
                  <c:v>7.7287066246056781</c:v>
                </c:pt>
                <c:pt idx="57">
                  <c:v>10.979547900968784</c:v>
                </c:pt>
                <c:pt idx="58">
                  <c:v>10.196078431372548</c:v>
                </c:pt>
                <c:pt idx="59">
                  <c:v>9.5423563777994165</c:v>
                </c:pt>
                <c:pt idx="60">
                  <c:v>10.231023102310232</c:v>
                </c:pt>
                <c:pt idx="61">
                  <c:v>7.9613992762364294</c:v>
                </c:pt>
                <c:pt idx="62">
                  <c:v>12.595419847328245</c:v>
                </c:pt>
                <c:pt idx="63">
                  <c:v>11.445783132530121</c:v>
                </c:pt>
                <c:pt idx="64">
                  <c:v>9.9537037037037042</c:v>
                </c:pt>
                <c:pt idx="65">
                  <c:v>5.6210964607911169</c:v>
                </c:pt>
                <c:pt idx="66">
                  <c:v>5.8568329718004337</c:v>
                </c:pt>
                <c:pt idx="67">
                  <c:v>5.5072463768115938</c:v>
                </c:pt>
                <c:pt idx="68">
                  <c:v>9.043927648578812</c:v>
                </c:pt>
                <c:pt idx="69">
                  <c:v>9.1641490433031212</c:v>
                </c:pt>
                <c:pt idx="70">
                  <c:v>8.19277108433735</c:v>
                </c:pt>
                <c:pt idx="71">
                  <c:v>11.37855579868709</c:v>
                </c:pt>
                <c:pt idx="72">
                  <c:v>9.7222222222222214</c:v>
                </c:pt>
                <c:pt idx="73">
                  <c:v>11.345646437994723</c:v>
                </c:pt>
                <c:pt idx="74">
                  <c:v>9.5890410958904102</c:v>
                </c:pt>
                <c:pt idx="75">
                  <c:v>6.0126582278481013</c:v>
                </c:pt>
                <c:pt idx="76">
                  <c:v>6.0494958753437214</c:v>
                </c:pt>
                <c:pt idx="77">
                  <c:v>6.9692058346839545</c:v>
                </c:pt>
                <c:pt idx="78">
                  <c:v>6.594885598923284</c:v>
                </c:pt>
                <c:pt idx="79">
                  <c:v>10.48951048951049</c:v>
                </c:pt>
                <c:pt idx="80">
                  <c:v>9.2903225806451619</c:v>
                </c:pt>
                <c:pt idx="81">
                  <c:v>8.1081081081081088</c:v>
                </c:pt>
                <c:pt idx="82">
                  <c:v>7.0098576122672505</c:v>
                </c:pt>
                <c:pt idx="83">
                  <c:v>10.662177328843995</c:v>
                </c:pt>
                <c:pt idx="84">
                  <c:v>9.8068350668647852</c:v>
                </c:pt>
                <c:pt idx="85">
                  <c:v>10</c:v>
                </c:pt>
                <c:pt idx="86">
                  <c:v>9.1445427728613566</c:v>
                </c:pt>
                <c:pt idx="87">
                  <c:v>9.872611464968152</c:v>
                </c:pt>
                <c:pt idx="88">
                  <c:v>7.1317829457364343</c:v>
                </c:pt>
                <c:pt idx="89">
                  <c:v>6.5476190476190474</c:v>
                </c:pt>
                <c:pt idx="90">
                  <c:v>4.643628509719222</c:v>
                </c:pt>
                <c:pt idx="91">
                  <c:v>8.8942307692307701</c:v>
                </c:pt>
                <c:pt idx="92">
                  <c:v>5.2186177715091677</c:v>
                </c:pt>
                <c:pt idx="93">
                  <c:v>2.7724049000644744</c:v>
                </c:pt>
                <c:pt idx="94">
                  <c:v>2.275960170697013</c:v>
                </c:pt>
                <c:pt idx="95">
                  <c:v>7.1074380165289259</c:v>
                </c:pt>
                <c:pt idx="96">
                  <c:v>1.0416666666666667</c:v>
                </c:pt>
                <c:pt idx="97">
                  <c:v>5.7268722466960353</c:v>
                </c:pt>
                <c:pt idx="98">
                  <c:v>6.8578553615960098</c:v>
                </c:pt>
                <c:pt idx="99">
                  <c:v>11.800486618004866</c:v>
                </c:pt>
                <c:pt idx="100">
                  <c:v>10.099573257467995</c:v>
                </c:pt>
                <c:pt idx="101">
                  <c:v>8.1739130434782616</c:v>
                </c:pt>
                <c:pt idx="102">
                  <c:v>6.7796610169491522</c:v>
                </c:pt>
                <c:pt idx="103">
                  <c:v>0.75757575757575757</c:v>
                </c:pt>
                <c:pt idx="104">
                  <c:v>6.25</c:v>
                </c:pt>
                <c:pt idx="105">
                  <c:v>7.4873096446700504</c:v>
                </c:pt>
                <c:pt idx="106">
                  <c:v>8.3333333333333339</c:v>
                </c:pt>
                <c:pt idx="107">
                  <c:v>10.012210012210012</c:v>
                </c:pt>
                <c:pt idx="108">
                  <c:v>10.78838174273859</c:v>
                </c:pt>
                <c:pt idx="109">
                  <c:v>12</c:v>
                </c:pt>
                <c:pt idx="110">
                  <c:v>7.5778078484438431</c:v>
                </c:pt>
                <c:pt idx="111">
                  <c:v>10.878661087866108</c:v>
                </c:pt>
                <c:pt idx="112">
                  <c:v>12.5</c:v>
                </c:pt>
                <c:pt idx="113">
                  <c:v>9.0909090909090917</c:v>
                </c:pt>
                <c:pt idx="114">
                  <c:v>8.8167053364269137</c:v>
                </c:pt>
                <c:pt idx="115">
                  <c:v>9.7435897435897427</c:v>
                </c:pt>
                <c:pt idx="116">
                  <c:v>8.9812332439678286</c:v>
                </c:pt>
                <c:pt idx="117">
                  <c:v>11.127167630057803</c:v>
                </c:pt>
                <c:pt idx="118">
                  <c:v>0</c:v>
                </c:pt>
                <c:pt idx="119">
                  <c:v>8.6673889490790899</c:v>
                </c:pt>
                <c:pt idx="120">
                  <c:v>11.790393013100436</c:v>
                </c:pt>
                <c:pt idx="121">
                  <c:v>6.9306930693069306</c:v>
                </c:pt>
                <c:pt idx="122">
                  <c:v>10.51051051051051</c:v>
                </c:pt>
                <c:pt idx="123">
                  <c:v>9.9290780141843964</c:v>
                </c:pt>
                <c:pt idx="124">
                  <c:v>9.7099621689785618</c:v>
                </c:pt>
                <c:pt idx="125">
                  <c:v>10.473457675753227</c:v>
                </c:pt>
                <c:pt idx="126">
                  <c:v>10.558252427184467</c:v>
                </c:pt>
                <c:pt idx="127">
                  <c:v>13.592233009708737</c:v>
                </c:pt>
                <c:pt idx="128">
                  <c:v>10.704225352112676</c:v>
                </c:pt>
                <c:pt idx="129">
                  <c:v>10.447761194029852</c:v>
                </c:pt>
                <c:pt idx="130">
                  <c:v>8.9805825242718438</c:v>
                </c:pt>
                <c:pt idx="131">
                  <c:v>12.266112266112266</c:v>
                </c:pt>
                <c:pt idx="132">
                  <c:v>8.9249492900608516</c:v>
                </c:pt>
                <c:pt idx="133">
                  <c:v>7.6763485477178426</c:v>
                </c:pt>
                <c:pt idx="134">
                  <c:v>11.068702290076336</c:v>
                </c:pt>
                <c:pt idx="135">
                  <c:v>10.946408209806158</c:v>
                </c:pt>
                <c:pt idx="136">
                  <c:v>9.3805309734513269</c:v>
                </c:pt>
                <c:pt idx="137">
                  <c:v>6.9502074688796682</c:v>
                </c:pt>
                <c:pt idx="138">
                  <c:v>11.428571428571429</c:v>
                </c:pt>
                <c:pt idx="139">
                  <c:v>9.690444145356663</c:v>
                </c:pt>
                <c:pt idx="140">
                  <c:v>2.2239872915011913</c:v>
                </c:pt>
                <c:pt idx="141">
                  <c:v>10.595065312046444</c:v>
                </c:pt>
                <c:pt idx="142">
                  <c:v>11.601513240857503</c:v>
                </c:pt>
                <c:pt idx="143">
                  <c:v>10.474860335195531</c:v>
                </c:pt>
                <c:pt idx="144">
                  <c:v>10.027100271002711</c:v>
                </c:pt>
                <c:pt idx="145">
                  <c:v>14.47084233261339</c:v>
                </c:pt>
                <c:pt idx="146">
                  <c:v>10.9375</c:v>
                </c:pt>
                <c:pt idx="147">
                  <c:v>10.9697933227345</c:v>
                </c:pt>
                <c:pt idx="148">
                  <c:v>10.551558752997602</c:v>
                </c:pt>
                <c:pt idx="149">
                  <c:v>8.5308056872037916</c:v>
                </c:pt>
                <c:pt idx="150">
                  <c:v>10.057471264367816</c:v>
                </c:pt>
                <c:pt idx="151">
                  <c:v>10.28225806451613</c:v>
                </c:pt>
                <c:pt idx="152">
                  <c:v>10.034602076124568</c:v>
                </c:pt>
                <c:pt idx="153">
                  <c:v>10.139165009940358</c:v>
                </c:pt>
                <c:pt idx="154">
                  <c:v>9.5238095238095237</c:v>
                </c:pt>
                <c:pt idx="155">
                  <c:v>11.490125673249551</c:v>
                </c:pt>
                <c:pt idx="156">
                  <c:v>6.5241844769403823</c:v>
                </c:pt>
                <c:pt idx="157">
                  <c:v>5.0125313283208017</c:v>
                </c:pt>
                <c:pt idx="158">
                  <c:v>7.5</c:v>
                </c:pt>
                <c:pt idx="159">
                  <c:v>9.9624060150375939</c:v>
                </c:pt>
                <c:pt idx="160">
                  <c:v>6.4449064449064446</c:v>
                </c:pt>
                <c:pt idx="161">
                  <c:v>8.8122605363984672</c:v>
                </c:pt>
                <c:pt idx="162">
                  <c:v>13.084112149532711</c:v>
                </c:pt>
                <c:pt idx="163">
                  <c:v>8.6355785837651116</c:v>
                </c:pt>
                <c:pt idx="164">
                  <c:v>15.315315315315315</c:v>
                </c:pt>
                <c:pt idx="165">
                  <c:v>10.914927768860354</c:v>
                </c:pt>
                <c:pt idx="166">
                  <c:v>11.201629327902241</c:v>
                </c:pt>
                <c:pt idx="167">
                  <c:v>10.735586481113319</c:v>
                </c:pt>
                <c:pt idx="168">
                  <c:v>9.4133697135061389</c:v>
                </c:pt>
                <c:pt idx="169">
                  <c:v>10.15625</c:v>
                </c:pt>
                <c:pt idx="170">
                  <c:v>10.320284697508896</c:v>
                </c:pt>
                <c:pt idx="171">
                  <c:v>8.6705202312138727</c:v>
                </c:pt>
                <c:pt idx="172">
                  <c:v>6.3360881542699721</c:v>
                </c:pt>
                <c:pt idx="173">
                  <c:v>10.026385224274406</c:v>
                </c:pt>
                <c:pt idx="174">
                  <c:v>9.5890410958904102</c:v>
                </c:pt>
                <c:pt idx="175">
                  <c:v>7.9787234042553195</c:v>
                </c:pt>
                <c:pt idx="176">
                  <c:v>9.2039800995024876</c:v>
                </c:pt>
                <c:pt idx="177">
                  <c:v>4.1271989174560213</c:v>
                </c:pt>
                <c:pt idx="178">
                  <c:v>4.9122807017543861</c:v>
                </c:pt>
                <c:pt idx="179">
                  <c:v>7.3584905660377355</c:v>
                </c:pt>
                <c:pt idx="180">
                  <c:v>6.4748201438848918</c:v>
                </c:pt>
                <c:pt idx="181">
                  <c:v>5.46875</c:v>
                </c:pt>
              </c:numCache>
            </c:numRef>
          </c:yVal>
          <c:bubbleSize>
            <c:numRef>
              <c:f>'Мособлдума партии'!$J$2:$J$183</c:f>
              <c:numCache>
                <c:formatCode>General</c:formatCode>
                <c:ptCount val="182"/>
                <c:pt idx="0">
                  <c:v>2451</c:v>
                </c:pt>
                <c:pt idx="1">
                  <c:v>1792</c:v>
                </c:pt>
                <c:pt idx="2">
                  <c:v>1987</c:v>
                </c:pt>
                <c:pt idx="3">
                  <c:v>2122</c:v>
                </c:pt>
                <c:pt idx="4">
                  <c:v>1909</c:v>
                </c:pt>
                <c:pt idx="5">
                  <c:v>1948</c:v>
                </c:pt>
                <c:pt idx="6">
                  <c:v>1966</c:v>
                </c:pt>
                <c:pt idx="7">
                  <c:v>1755</c:v>
                </c:pt>
                <c:pt idx="8">
                  <c:v>2053</c:v>
                </c:pt>
                <c:pt idx="9">
                  <c:v>2353</c:v>
                </c:pt>
                <c:pt idx="10">
                  <c:v>2236</c:v>
                </c:pt>
                <c:pt idx="11">
                  <c:v>878</c:v>
                </c:pt>
                <c:pt idx="12">
                  <c:v>1109</c:v>
                </c:pt>
                <c:pt idx="13">
                  <c:v>2346</c:v>
                </c:pt>
                <c:pt idx="14">
                  <c:v>1222</c:v>
                </c:pt>
                <c:pt idx="15">
                  <c:v>1986</c:v>
                </c:pt>
                <c:pt idx="16">
                  <c:v>391</c:v>
                </c:pt>
                <c:pt idx="17">
                  <c:v>1248</c:v>
                </c:pt>
                <c:pt idx="18">
                  <c:v>1716</c:v>
                </c:pt>
                <c:pt idx="19">
                  <c:v>2695</c:v>
                </c:pt>
                <c:pt idx="20">
                  <c:v>1800</c:v>
                </c:pt>
                <c:pt idx="21">
                  <c:v>2108</c:v>
                </c:pt>
                <c:pt idx="22">
                  <c:v>2215</c:v>
                </c:pt>
                <c:pt idx="23">
                  <c:v>2112</c:v>
                </c:pt>
                <c:pt idx="24">
                  <c:v>2268</c:v>
                </c:pt>
                <c:pt idx="25">
                  <c:v>2112</c:v>
                </c:pt>
                <c:pt idx="26">
                  <c:v>2016</c:v>
                </c:pt>
                <c:pt idx="27">
                  <c:v>2330</c:v>
                </c:pt>
                <c:pt idx="28">
                  <c:v>1867</c:v>
                </c:pt>
                <c:pt idx="29">
                  <c:v>1777</c:v>
                </c:pt>
                <c:pt idx="30">
                  <c:v>1121</c:v>
                </c:pt>
                <c:pt idx="31">
                  <c:v>2249</c:v>
                </c:pt>
                <c:pt idx="32">
                  <c:v>1262</c:v>
                </c:pt>
                <c:pt idx="33">
                  <c:v>553</c:v>
                </c:pt>
                <c:pt idx="34">
                  <c:v>932</c:v>
                </c:pt>
                <c:pt idx="35">
                  <c:v>2579</c:v>
                </c:pt>
                <c:pt idx="36">
                  <c:v>1659</c:v>
                </c:pt>
                <c:pt idx="37">
                  <c:v>1947</c:v>
                </c:pt>
                <c:pt idx="38">
                  <c:v>857</c:v>
                </c:pt>
                <c:pt idx="39">
                  <c:v>1412</c:v>
                </c:pt>
                <c:pt idx="40">
                  <c:v>2047</c:v>
                </c:pt>
                <c:pt idx="41">
                  <c:v>536</c:v>
                </c:pt>
                <c:pt idx="42">
                  <c:v>2687</c:v>
                </c:pt>
                <c:pt idx="43">
                  <c:v>2348</c:v>
                </c:pt>
                <c:pt idx="44">
                  <c:v>2383</c:v>
                </c:pt>
                <c:pt idx="45">
                  <c:v>1001</c:v>
                </c:pt>
                <c:pt idx="46">
                  <c:v>439</c:v>
                </c:pt>
                <c:pt idx="47">
                  <c:v>1596</c:v>
                </c:pt>
                <c:pt idx="48">
                  <c:v>1548</c:v>
                </c:pt>
                <c:pt idx="49">
                  <c:v>2222</c:v>
                </c:pt>
                <c:pt idx="50">
                  <c:v>1888</c:v>
                </c:pt>
                <c:pt idx="51">
                  <c:v>1665</c:v>
                </c:pt>
                <c:pt idx="52">
                  <c:v>1691</c:v>
                </c:pt>
                <c:pt idx="53">
                  <c:v>517</c:v>
                </c:pt>
                <c:pt idx="54">
                  <c:v>1745</c:v>
                </c:pt>
                <c:pt idx="55">
                  <c:v>1453</c:v>
                </c:pt>
                <c:pt idx="56">
                  <c:v>1496</c:v>
                </c:pt>
                <c:pt idx="57">
                  <c:v>2669</c:v>
                </c:pt>
                <c:pt idx="58">
                  <c:v>2799</c:v>
                </c:pt>
                <c:pt idx="59">
                  <c:v>2544</c:v>
                </c:pt>
                <c:pt idx="60">
                  <c:v>1670</c:v>
                </c:pt>
                <c:pt idx="61">
                  <c:v>1891</c:v>
                </c:pt>
                <c:pt idx="62">
                  <c:v>1984</c:v>
                </c:pt>
                <c:pt idx="63">
                  <c:v>628</c:v>
                </c:pt>
                <c:pt idx="64">
                  <c:v>1469</c:v>
                </c:pt>
                <c:pt idx="65">
                  <c:v>2564</c:v>
                </c:pt>
                <c:pt idx="66">
                  <c:v>711</c:v>
                </c:pt>
                <c:pt idx="67">
                  <c:v>676</c:v>
                </c:pt>
                <c:pt idx="68">
                  <c:v>1747</c:v>
                </c:pt>
                <c:pt idx="69">
                  <c:v>1907</c:v>
                </c:pt>
                <c:pt idx="70">
                  <c:v>1194</c:v>
                </c:pt>
                <c:pt idx="71">
                  <c:v>1129</c:v>
                </c:pt>
                <c:pt idx="72">
                  <c:v>1498</c:v>
                </c:pt>
                <c:pt idx="73">
                  <c:v>1859</c:v>
                </c:pt>
                <c:pt idx="74">
                  <c:v>1315</c:v>
                </c:pt>
                <c:pt idx="75">
                  <c:v>1300</c:v>
                </c:pt>
                <c:pt idx="76">
                  <c:v>2038</c:v>
                </c:pt>
                <c:pt idx="77">
                  <c:v>1190</c:v>
                </c:pt>
                <c:pt idx="78">
                  <c:v>1521</c:v>
                </c:pt>
                <c:pt idx="79">
                  <c:v>710</c:v>
                </c:pt>
                <c:pt idx="80">
                  <c:v>1525</c:v>
                </c:pt>
                <c:pt idx="81">
                  <c:v>1495</c:v>
                </c:pt>
                <c:pt idx="82">
                  <c:v>1808</c:v>
                </c:pt>
                <c:pt idx="83">
                  <c:v>2012</c:v>
                </c:pt>
                <c:pt idx="84">
                  <c:v>1681</c:v>
                </c:pt>
                <c:pt idx="85">
                  <c:v>1685</c:v>
                </c:pt>
                <c:pt idx="86">
                  <c:v>1529</c:v>
                </c:pt>
                <c:pt idx="87">
                  <c:v>1800</c:v>
                </c:pt>
                <c:pt idx="88">
                  <c:v>1896</c:v>
                </c:pt>
                <c:pt idx="89">
                  <c:v>1963</c:v>
                </c:pt>
                <c:pt idx="90">
                  <c:v>1902</c:v>
                </c:pt>
                <c:pt idx="91">
                  <c:v>1647</c:v>
                </c:pt>
                <c:pt idx="92">
                  <c:v>1316</c:v>
                </c:pt>
                <c:pt idx="93">
                  <c:v>2424</c:v>
                </c:pt>
                <c:pt idx="94">
                  <c:v>2162</c:v>
                </c:pt>
                <c:pt idx="95">
                  <c:v>1230</c:v>
                </c:pt>
                <c:pt idx="96">
                  <c:v>901</c:v>
                </c:pt>
                <c:pt idx="97">
                  <c:v>2387</c:v>
                </c:pt>
                <c:pt idx="98">
                  <c:v>1535</c:v>
                </c:pt>
                <c:pt idx="99">
                  <c:v>2645</c:v>
                </c:pt>
                <c:pt idx="100">
                  <c:v>2043</c:v>
                </c:pt>
                <c:pt idx="101">
                  <c:v>1990</c:v>
                </c:pt>
                <c:pt idx="102">
                  <c:v>988</c:v>
                </c:pt>
                <c:pt idx="103">
                  <c:v>132</c:v>
                </c:pt>
                <c:pt idx="104">
                  <c:v>83</c:v>
                </c:pt>
                <c:pt idx="105">
                  <c:v>1763</c:v>
                </c:pt>
                <c:pt idx="106">
                  <c:v>1063</c:v>
                </c:pt>
                <c:pt idx="107">
                  <c:v>2316</c:v>
                </c:pt>
                <c:pt idx="108">
                  <c:v>1250</c:v>
                </c:pt>
                <c:pt idx="109">
                  <c:v>1265</c:v>
                </c:pt>
                <c:pt idx="110">
                  <c:v>1736</c:v>
                </c:pt>
                <c:pt idx="111">
                  <c:v>2586</c:v>
                </c:pt>
                <c:pt idx="112">
                  <c:v>1243</c:v>
                </c:pt>
                <c:pt idx="113">
                  <c:v>1451</c:v>
                </c:pt>
                <c:pt idx="114">
                  <c:v>1179</c:v>
                </c:pt>
                <c:pt idx="115">
                  <c:v>2285</c:v>
                </c:pt>
                <c:pt idx="116">
                  <c:v>1678</c:v>
                </c:pt>
                <c:pt idx="117">
                  <c:v>2025</c:v>
                </c:pt>
                <c:pt idx="118">
                  <c:v>0</c:v>
                </c:pt>
                <c:pt idx="119">
                  <c:v>2430</c:v>
                </c:pt>
                <c:pt idx="120">
                  <c:v>2209</c:v>
                </c:pt>
                <c:pt idx="121">
                  <c:v>2330</c:v>
                </c:pt>
                <c:pt idx="122">
                  <c:v>2013</c:v>
                </c:pt>
                <c:pt idx="123">
                  <c:v>2023</c:v>
                </c:pt>
                <c:pt idx="124">
                  <c:v>2032</c:v>
                </c:pt>
                <c:pt idx="125">
                  <c:v>1759</c:v>
                </c:pt>
                <c:pt idx="126">
                  <c:v>2293</c:v>
                </c:pt>
                <c:pt idx="127">
                  <c:v>2176</c:v>
                </c:pt>
                <c:pt idx="128">
                  <c:v>1998</c:v>
                </c:pt>
                <c:pt idx="129">
                  <c:v>1307</c:v>
                </c:pt>
                <c:pt idx="130">
                  <c:v>1453</c:v>
                </c:pt>
                <c:pt idx="131">
                  <c:v>1520</c:v>
                </c:pt>
                <c:pt idx="132">
                  <c:v>1462</c:v>
                </c:pt>
                <c:pt idx="133">
                  <c:v>1433</c:v>
                </c:pt>
                <c:pt idx="134">
                  <c:v>1850</c:v>
                </c:pt>
                <c:pt idx="135">
                  <c:v>2111</c:v>
                </c:pt>
                <c:pt idx="136">
                  <c:v>1035</c:v>
                </c:pt>
                <c:pt idx="137">
                  <c:v>1915</c:v>
                </c:pt>
                <c:pt idx="138">
                  <c:v>2290</c:v>
                </c:pt>
                <c:pt idx="139">
                  <c:v>2253</c:v>
                </c:pt>
                <c:pt idx="140">
                  <c:v>1800</c:v>
                </c:pt>
                <c:pt idx="141">
                  <c:v>2162</c:v>
                </c:pt>
                <c:pt idx="142">
                  <c:v>2058</c:v>
                </c:pt>
                <c:pt idx="143">
                  <c:v>2109</c:v>
                </c:pt>
                <c:pt idx="144">
                  <c:v>1251</c:v>
                </c:pt>
                <c:pt idx="145">
                  <c:v>1278</c:v>
                </c:pt>
                <c:pt idx="146">
                  <c:v>981</c:v>
                </c:pt>
                <c:pt idx="147">
                  <c:v>1911</c:v>
                </c:pt>
                <c:pt idx="148">
                  <c:v>2296</c:v>
                </c:pt>
                <c:pt idx="149">
                  <c:v>2186</c:v>
                </c:pt>
                <c:pt idx="150">
                  <c:v>2642</c:v>
                </c:pt>
                <c:pt idx="151">
                  <c:v>1775</c:v>
                </c:pt>
                <c:pt idx="152">
                  <c:v>1894</c:v>
                </c:pt>
                <c:pt idx="153">
                  <c:v>2070</c:v>
                </c:pt>
                <c:pt idx="154">
                  <c:v>2196</c:v>
                </c:pt>
                <c:pt idx="155">
                  <c:v>2551</c:v>
                </c:pt>
                <c:pt idx="156">
                  <c:v>2922</c:v>
                </c:pt>
                <c:pt idx="157">
                  <c:v>752</c:v>
                </c:pt>
                <c:pt idx="158">
                  <c:v>793</c:v>
                </c:pt>
                <c:pt idx="159">
                  <c:v>1731</c:v>
                </c:pt>
                <c:pt idx="160">
                  <c:v>1086</c:v>
                </c:pt>
                <c:pt idx="161">
                  <c:v>3026</c:v>
                </c:pt>
                <c:pt idx="162">
                  <c:v>2514</c:v>
                </c:pt>
                <c:pt idx="163">
                  <c:v>2308</c:v>
                </c:pt>
                <c:pt idx="164">
                  <c:v>2212</c:v>
                </c:pt>
                <c:pt idx="165">
                  <c:v>2419</c:v>
                </c:pt>
                <c:pt idx="166">
                  <c:v>2132</c:v>
                </c:pt>
                <c:pt idx="167">
                  <c:v>2359</c:v>
                </c:pt>
                <c:pt idx="168">
                  <c:v>2958</c:v>
                </c:pt>
                <c:pt idx="169">
                  <c:v>749</c:v>
                </c:pt>
                <c:pt idx="170">
                  <c:v>2663</c:v>
                </c:pt>
                <c:pt idx="171">
                  <c:v>1277</c:v>
                </c:pt>
                <c:pt idx="172">
                  <c:v>1094</c:v>
                </c:pt>
                <c:pt idx="173">
                  <c:v>1232</c:v>
                </c:pt>
                <c:pt idx="174">
                  <c:v>1023</c:v>
                </c:pt>
                <c:pt idx="175">
                  <c:v>1695</c:v>
                </c:pt>
                <c:pt idx="176">
                  <c:v>1677</c:v>
                </c:pt>
                <c:pt idx="177">
                  <c:v>2354</c:v>
                </c:pt>
                <c:pt idx="178">
                  <c:v>1806</c:v>
                </c:pt>
                <c:pt idx="179">
                  <c:v>1294</c:v>
                </c:pt>
                <c:pt idx="180">
                  <c:v>1640</c:v>
                </c:pt>
                <c:pt idx="181">
                  <c:v>1068</c:v>
                </c:pt>
              </c:numCache>
            </c:numRef>
          </c:bubbleSize>
          <c:bubble3D val="0"/>
          <c:extLst>
            <c:ext xmlns:c16="http://schemas.microsoft.com/office/drawing/2014/chart" uri="{C3380CC4-5D6E-409C-BE32-E72D297353CC}">
              <c16:uniqueId val="{00000009-2D10-4E5E-9489-B18E1CFA942D}"/>
            </c:ext>
          </c:extLst>
        </c:ser>
        <c:ser>
          <c:idx val="0"/>
          <c:order val="10"/>
          <c:tx>
            <c:strRef>
              <c:f>'Мособлдума партии'!$W$1</c:f>
              <c:strCache>
                <c:ptCount val="1"/>
                <c:pt idx="0">
                  <c:v>Недействительных</c:v>
                </c:pt>
              </c:strCache>
            </c:strRef>
          </c:tx>
          <c:spPr>
            <a:noFill/>
            <a:ln w="6350">
              <a:solidFill>
                <a:srgbClr val="000000"/>
              </a:solidFill>
            </a:ln>
          </c:spPr>
          <c:invertIfNegative val="0"/>
          <c:xVal>
            <c:numRef>
              <c:f>'Мособлдума партии'!$O$2:$O$183</c:f>
              <c:numCache>
                <c:formatCode>0.0</c:formatCode>
                <c:ptCount val="182"/>
                <c:pt idx="0">
                  <c:v>65.483476132190944</c:v>
                </c:pt>
                <c:pt idx="1">
                  <c:v>53.515625</c:v>
                </c:pt>
                <c:pt idx="2">
                  <c:v>54.8565676899849</c:v>
                </c:pt>
                <c:pt idx="3">
                  <c:v>54.665409990574929</c:v>
                </c:pt>
                <c:pt idx="4">
                  <c:v>48.402304871660554</c:v>
                </c:pt>
                <c:pt idx="5">
                  <c:v>50.359342915811091</c:v>
                </c:pt>
                <c:pt idx="6">
                  <c:v>59.511698880976603</c:v>
                </c:pt>
                <c:pt idx="7">
                  <c:v>73.105413105413106</c:v>
                </c:pt>
                <c:pt idx="8">
                  <c:v>71.602532878714072</c:v>
                </c:pt>
                <c:pt idx="9">
                  <c:v>36.124096897577559</c:v>
                </c:pt>
                <c:pt idx="10">
                  <c:v>25.402504472271914</c:v>
                </c:pt>
                <c:pt idx="11">
                  <c:v>72.779043280182236</c:v>
                </c:pt>
                <c:pt idx="12">
                  <c:v>50.76645626690712</c:v>
                </c:pt>
                <c:pt idx="13">
                  <c:v>35.336743393009378</c:v>
                </c:pt>
                <c:pt idx="14">
                  <c:v>46.317512274959086</c:v>
                </c:pt>
                <c:pt idx="15">
                  <c:v>29.405840886203425</c:v>
                </c:pt>
                <c:pt idx="16">
                  <c:v>43.734015345268546</c:v>
                </c:pt>
                <c:pt idx="17">
                  <c:v>31.410256410256409</c:v>
                </c:pt>
                <c:pt idx="18">
                  <c:v>48.484848484848484</c:v>
                </c:pt>
                <c:pt idx="19">
                  <c:v>35.881261595547308</c:v>
                </c:pt>
                <c:pt idx="20">
                  <c:v>24.388888888888889</c:v>
                </c:pt>
                <c:pt idx="21">
                  <c:v>46.110056925996204</c:v>
                </c:pt>
                <c:pt idx="22">
                  <c:v>30.428893905191874</c:v>
                </c:pt>
                <c:pt idx="23">
                  <c:v>35.842803030303031</c:v>
                </c:pt>
                <c:pt idx="24">
                  <c:v>30.996472663139329</c:v>
                </c:pt>
                <c:pt idx="25">
                  <c:v>37.5</c:v>
                </c:pt>
                <c:pt idx="26">
                  <c:v>45.486111111111114</c:v>
                </c:pt>
                <c:pt idx="27">
                  <c:v>30.472103004291846</c:v>
                </c:pt>
                <c:pt idx="28">
                  <c:v>38.564542046063202</c:v>
                </c:pt>
                <c:pt idx="29">
                  <c:v>34.21496904895892</c:v>
                </c:pt>
                <c:pt idx="30">
                  <c:v>38.358608385370204</c:v>
                </c:pt>
                <c:pt idx="31">
                  <c:v>29.568697198755004</c:v>
                </c:pt>
                <c:pt idx="32">
                  <c:v>38.906497622820922</c:v>
                </c:pt>
                <c:pt idx="33">
                  <c:v>60.397830018083184</c:v>
                </c:pt>
                <c:pt idx="34">
                  <c:v>40.557939914163093</c:v>
                </c:pt>
                <c:pt idx="35">
                  <c:v>60.643660333462584</c:v>
                </c:pt>
                <c:pt idx="36">
                  <c:v>80.892103676913806</c:v>
                </c:pt>
                <c:pt idx="37">
                  <c:v>37.185413456599896</c:v>
                </c:pt>
                <c:pt idx="38">
                  <c:v>39.089848308051344</c:v>
                </c:pt>
                <c:pt idx="39">
                  <c:v>39.518413597733712</c:v>
                </c:pt>
                <c:pt idx="40">
                  <c:v>34.831460674157306</c:v>
                </c:pt>
                <c:pt idx="41">
                  <c:v>30.410447761194028</c:v>
                </c:pt>
                <c:pt idx="42">
                  <c:v>33.382954968366207</c:v>
                </c:pt>
                <c:pt idx="43">
                  <c:v>33.17717206132879</c:v>
                </c:pt>
                <c:pt idx="44">
                  <c:v>66.638690725975664</c:v>
                </c:pt>
                <c:pt idx="45">
                  <c:v>76.323676323676324</c:v>
                </c:pt>
                <c:pt idx="46">
                  <c:v>63.553530751708429</c:v>
                </c:pt>
                <c:pt idx="47">
                  <c:v>38.345864661654133</c:v>
                </c:pt>
                <c:pt idx="48">
                  <c:v>46.447028423772608</c:v>
                </c:pt>
                <c:pt idx="49">
                  <c:v>54.770477047704773</c:v>
                </c:pt>
                <c:pt idx="50">
                  <c:v>39.671610169491522</c:v>
                </c:pt>
                <c:pt idx="51">
                  <c:v>36.756756756756758</c:v>
                </c:pt>
                <c:pt idx="52">
                  <c:v>41.573033707865171</c:v>
                </c:pt>
                <c:pt idx="53">
                  <c:v>77.949709864603477</c:v>
                </c:pt>
                <c:pt idx="54">
                  <c:v>33.753581661891118</c:v>
                </c:pt>
                <c:pt idx="55">
                  <c:v>33.72333103922918</c:v>
                </c:pt>
                <c:pt idx="56">
                  <c:v>42.37967914438503</c:v>
                </c:pt>
                <c:pt idx="57">
                  <c:v>34.80704383664294</c:v>
                </c:pt>
                <c:pt idx="58">
                  <c:v>27.331189710610932</c:v>
                </c:pt>
                <c:pt idx="59">
                  <c:v>40.369496855345915</c:v>
                </c:pt>
                <c:pt idx="60">
                  <c:v>36.407185628742518</c:v>
                </c:pt>
                <c:pt idx="61">
                  <c:v>43.839238498149129</c:v>
                </c:pt>
                <c:pt idx="62">
                  <c:v>26.411290322580644</c:v>
                </c:pt>
                <c:pt idx="63">
                  <c:v>26.433121019108281</c:v>
                </c:pt>
                <c:pt idx="64">
                  <c:v>29.407760381211709</c:v>
                </c:pt>
                <c:pt idx="65">
                  <c:v>56.201248049922</c:v>
                </c:pt>
                <c:pt idx="66">
                  <c:v>64.838255977496488</c:v>
                </c:pt>
                <c:pt idx="67">
                  <c:v>51.035502958579883</c:v>
                </c:pt>
                <c:pt idx="68">
                  <c:v>44.304522037779051</c:v>
                </c:pt>
                <c:pt idx="69">
                  <c:v>52.071316203460931</c:v>
                </c:pt>
                <c:pt idx="70">
                  <c:v>34.757118927973202</c:v>
                </c:pt>
                <c:pt idx="71">
                  <c:v>40.566873339238263</c:v>
                </c:pt>
                <c:pt idx="72">
                  <c:v>38.851802403204275</c:v>
                </c:pt>
                <c:pt idx="73">
                  <c:v>20.387305002689619</c:v>
                </c:pt>
                <c:pt idx="74">
                  <c:v>33.460076045627375</c:v>
                </c:pt>
                <c:pt idx="75">
                  <c:v>48.615384615384613</c:v>
                </c:pt>
                <c:pt idx="76">
                  <c:v>53.680078508341509</c:v>
                </c:pt>
                <c:pt idx="77">
                  <c:v>64.369747899159663</c:v>
                </c:pt>
                <c:pt idx="78">
                  <c:v>48.849441157133462</c:v>
                </c:pt>
                <c:pt idx="79">
                  <c:v>40.281690140845072</c:v>
                </c:pt>
                <c:pt idx="80">
                  <c:v>50.819672131147541</c:v>
                </c:pt>
                <c:pt idx="81">
                  <c:v>39.598662207357862</c:v>
                </c:pt>
                <c:pt idx="82">
                  <c:v>50.497787610619469</c:v>
                </c:pt>
                <c:pt idx="83">
                  <c:v>44.284294234592444</c:v>
                </c:pt>
                <c:pt idx="84">
                  <c:v>40.035693039857229</c:v>
                </c:pt>
                <c:pt idx="85">
                  <c:v>39.169139465875368</c:v>
                </c:pt>
                <c:pt idx="86">
                  <c:v>44.34270765206017</c:v>
                </c:pt>
                <c:pt idx="87">
                  <c:v>34.888888888888886</c:v>
                </c:pt>
                <c:pt idx="88">
                  <c:v>36.497890295358651</c:v>
                </c:pt>
                <c:pt idx="89">
                  <c:v>42.791645440652061</c:v>
                </c:pt>
                <c:pt idx="90">
                  <c:v>48.685594111461619</c:v>
                </c:pt>
                <c:pt idx="91">
                  <c:v>50.516089860352153</c:v>
                </c:pt>
                <c:pt idx="92">
                  <c:v>53.875379939209729</c:v>
                </c:pt>
                <c:pt idx="93">
                  <c:v>63.985148514851488</c:v>
                </c:pt>
                <c:pt idx="94">
                  <c:v>65.171137835337646</c:v>
                </c:pt>
                <c:pt idx="95">
                  <c:v>49.1869918699187</c:v>
                </c:pt>
                <c:pt idx="96">
                  <c:v>53.274139844617089</c:v>
                </c:pt>
                <c:pt idx="97">
                  <c:v>47.549224968579807</c:v>
                </c:pt>
                <c:pt idx="98">
                  <c:v>52.247557003257327</c:v>
                </c:pt>
                <c:pt idx="99">
                  <c:v>31.077504725897921</c:v>
                </c:pt>
                <c:pt idx="100">
                  <c:v>34.410181106216349</c:v>
                </c:pt>
                <c:pt idx="101">
                  <c:v>58.090452261306531</c:v>
                </c:pt>
                <c:pt idx="102">
                  <c:v>54.251012145748987</c:v>
                </c:pt>
                <c:pt idx="103">
                  <c:v>100</c:v>
                </c:pt>
                <c:pt idx="104">
                  <c:v>96.385542168674704</c:v>
                </c:pt>
                <c:pt idx="105">
                  <c:v>44.696539988655701</c:v>
                </c:pt>
                <c:pt idx="106">
                  <c:v>34.995296331138285</c:v>
                </c:pt>
                <c:pt idx="107">
                  <c:v>35.362694300518136</c:v>
                </c:pt>
                <c:pt idx="108">
                  <c:v>39.04</c:v>
                </c:pt>
                <c:pt idx="109">
                  <c:v>35.573122529644266</c:v>
                </c:pt>
                <c:pt idx="110">
                  <c:v>44.124423963133637</c:v>
                </c:pt>
                <c:pt idx="111">
                  <c:v>38.940448569218873</c:v>
                </c:pt>
                <c:pt idx="112">
                  <c:v>38.696701528559935</c:v>
                </c:pt>
                <c:pt idx="113">
                  <c:v>40.17918676774638</c:v>
                </c:pt>
                <c:pt idx="114">
                  <c:v>36.726039016115351</c:v>
                </c:pt>
                <c:pt idx="115">
                  <c:v>34.266958424507656</c:v>
                </c:pt>
                <c:pt idx="116">
                  <c:v>44.636471990464841</c:v>
                </c:pt>
                <c:pt idx="117">
                  <c:v>34.172839506172842</c:v>
                </c:pt>
                <c:pt idx="118">
                  <c:v>0</c:v>
                </c:pt>
                <c:pt idx="119">
                  <c:v>38.02469135802469</c:v>
                </c:pt>
                <c:pt idx="120">
                  <c:v>31.100045269352648</c:v>
                </c:pt>
                <c:pt idx="121">
                  <c:v>52.017167381974247</c:v>
                </c:pt>
                <c:pt idx="122">
                  <c:v>34.624937903626432</c:v>
                </c:pt>
                <c:pt idx="123">
                  <c:v>35.096391497775578</c:v>
                </c:pt>
                <c:pt idx="124">
                  <c:v>42.913385826771652</c:v>
                </c:pt>
                <c:pt idx="125">
                  <c:v>39.681637293916999</c:v>
                </c:pt>
                <c:pt idx="126">
                  <c:v>35.935455734845178</c:v>
                </c:pt>
                <c:pt idx="127">
                  <c:v>33.134191176470587</c:v>
                </c:pt>
                <c:pt idx="128">
                  <c:v>35.535535535535537</c:v>
                </c:pt>
                <c:pt idx="129">
                  <c:v>41.009946442234124</c:v>
                </c:pt>
                <c:pt idx="130">
                  <c:v>70.199587061252586</c:v>
                </c:pt>
                <c:pt idx="131">
                  <c:v>31.644736842105264</c:v>
                </c:pt>
                <c:pt idx="132">
                  <c:v>33.720930232558139</c:v>
                </c:pt>
                <c:pt idx="133">
                  <c:v>33.635729239357993</c:v>
                </c:pt>
                <c:pt idx="134">
                  <c:v>28.324324324324323</c:v>
                </c:pt>
                <c:pt idx="135">
                  <c:v>41.544291804831836</c:v>
                </c:pt>
                <c:pt idx="136">
                  <c:v>54.589371980676326</c:v>
                </c:pt>
                <c:pt idx="137">
                  <c:v>50.391644908616186</c:v>
                </c:pt>
                <c:pt idx="138">
                  <c:v>35.37117903930131</c:v>
                </c:pt>
                <c:pt idx="139">
                  <c:v>32.978251220594764</c:v>
                </c:pt>
                <c:pt idx="140">
                  <c:v>69.944444444444443</c:v>
                </c:pt>
                <c:pt idx="141">
                  <c:v>31.868640148011099</c:v>
                </c:pt>
                <c:pt idx="142">
                  <c:v>39.067055393586003</c:v>
                </c:pt>
                <c:pt idx="143">
                  <c:v>35.988620199146517</c:v>
                </c:pt>
                <c:pt idx="144">
                  <c:v>29.496402877697843</c:v>
                </c:pt>
                <c:pt idx="145">
                  <c:v>36.228482003129891</c:v>
                </c:pt>
                <c:pt idx="146">
                  <c:v>32.619775739041792</c:v>
                </c:pt>
                <c:pt idx="147">
                  <c:v>32.914704343275773</c:v>
                </c:pt>
                <c:pt idx="148">
                  <c:v>36.454703832752614</c:v>
                </c:pt>
                <c:pt idx="149">
                  <c:v>38.655077767612077</c:v>
                </c:pt>
                <c:pt idx="150">
                  <c:v>26.343679031037095</c:v>
                </c:pt>
                <c:pt idx="151">
                  <c:v>27.943661971830984</c:v>
                </c:pt>
                <c:pt idx="152">
                  <c:v>30.517423442449843</c:v>
                </c:pt>
                <c:pt idx="153">
                  <c:v>24.29951690821256</c:v>
                </c:pt>
                <c:pt idx="154">
                  <c:v>25.819672131147541</c:v>
                </c:pt>
                <c:pt idx="155">
                  <c:v>21.834574676597413</c:v>
                </c:pt>
                <c:pt idx="156">
                  <c:v>30.424366872005475</c:v>
                </c:pt>
                <c:pt idx="157">
                  <c:v>53.324468085106382</c:v>
                </c:pt>
                <c:pt idx="158">
                  <c:v>50.189155107187894</c:v>
                </c:pt>
                <c:pt idx="159">
                  <c:v>31.138070479491624</c:v>
                </c:pt>
                <c:pt idx="160">
                  <c:v>44.290976058931861</c:v>
                </c:pt>
                <c:pt idx="161">
                  <c:v>25.94183740912095</c:v>
                </c:pt>
                <c:pt idx="162">
                  <c:v>21.28082736674622</c:v>
                </c:pt>
                <c:pt idx="163">
                  <c:v>25.129982668977469</c:v>
                </c:pt>
                <c:pt idx="164">
                  <c:v>25.090415913200722</c:v>
                </c:pt>
                <c:pt idx="165">
                  <c:v>25.754443985117817</c:v>
                </c:pt>
                <c:pt idx="166">
                  <c:v>23.076923076923077</c:v>
                </c:pt>
                <c:pt idx="167">
                  <c:v>21.449766850360323</c:v>
                </c:pt>
                <c:pt idx="168">
                  <c:v>24.780256930358352</c:v>
                </c:pt>
                <c:pt idx="169">
                  <c:v>17.890520694259013</c:v>
                </c:pt>
                <c:pt idx="170">
                  <c:v>21.104018024784079</c:v>
                </c:pt>
                <c:pt idx="171">
                  <c:v>40.642129992169146</c:v>
                </c:pt>
                <c:pt idx="172">
                  <c:v>33.180987202925046</c:v>
                </c:pt>
                <c:pt idx="173">
                  <c:v>30.762987012987011</c:v>
                </c:pt>
                <c:pt idx="174">
                  <c:v>35.679374389051809</c:v>
                </c:pt>
                <c:pt idx="175">
                  <c:v>37.286135693215343</c:v>
                </c:pt>
                <c:pt idx="176">
                  <c:v>47.942754919499109</c:v>
                </c:pt>
                <c:pt idx="177">
                  <c:v>62.786745964316054</c:v>
                </c:pt>
                <c:pt idx="178">
                  <c:v>31.561461794019934</c:v>
                </c:pt>
                <c:pt idx="179">
                  <c:v>40.958268933539415</c:v>
                </c:pt>
                <c:pt idx="180">
                  <c:v>42.378048780487802</c:v>
                </c:pt>
                <c:pt idx="181">
                  <c:v>23.970037453183522</c:v>
                </c:pt>
              </c:numCache>
            </c:numRef>
          </c:xVal>
          <c:yVal>
            <c:numRef>
              <c:f>'Мособлдума партии'!$W$2:$W$183</c:f>
              <c:numCache>
                <c:formatCode>0.0</c:formatCode>
                <c:ptCount val="182"/>
                <c:pt idx="0">
                  <c:v>1.1838006230529594</c:v>
                </c:pt>
                <c:pt idx="1">
                  <c:v>1.8828451882845187</c:v>
                </c:pt>
                <c:pt idx="2">
                  <c:v>2.0183486238532109</c:v>
                </c:pt>
                <c:pt idx="3">
                  <c:v>2.5951557093425603</c:v>
                </c:pt>
                <c:pt idx="4">
                  <c:v>3.3695652173913042</c:v>
                </c:pt>
                <c:pt idx="5">
                  <c:v>1.1235955056179776</c:v>
                </c:pt>
                <c:pt idx="6">
                  <c:v>10</c:v>
                </c:pt>
                <c:pt idx="7">
                  <c:v>1.5698587127158556</c:v>
                </c:pt>
                <c:pt idx="8">
                  <c:v>1.9047619047619047</c:v>
                </c:pt>
                <c:pt idx="9">
                  <c:v>5.3635280095351607</c:v>
                </c:pt>
                <c:pt idx="10">
                  <c:v>5.9859154929577461</c:v>
                </c:pt>
                <c:pt idx="11">
                  <c:v>1.5649452269170578</c:v>
                </c:pt>
                <c:pt idx="12">
                  <c:v>2.1314387211367674</c:v>
                </c:pt>
                <c:pt idx="13">
                  <c:v>2.6537997587454765</c:v>
                </c:pt>
                <c:pt idx="14">
                  <c:v>3.8869257950530036</c:v>
                </c:pt>
                <c:pt idx="15">
                  <c:v>5.3082191780821919</c:v>
                </c:pt>
                <c:pt idx="16">
                  <c:v>1.1695906432748537</c:v>
                </c:pt>
                <c:pt idx="17">
                  <c:v>3.8860103626943006</c:v>
                </c:pt>
                <c:pt idx="18">
                  <c:v>4.927884615384615</c:v>
                </c:pt>
                <c:pt idx="19">
                  <c:v>3.4126163391933817</c:v>
                </c:pt>
                <c:pt idx="20">
                  <c:v>2.9612756264236904</c:v>
                </c:pt>
                <c:pt idx="21">
                  <c:v>1.7489711934156378</c:v>
                </c:pt>
                <c:pt idx="22">
                  <c:v>2.0771513353115729</c:v>
                </c:pt>
                <c:pt idx="23">
                  <c:v>4.2272126816380453</c:v>
                </c:pt>
                <c:pt idx="24">
                  <c:v>4.2735042735042734</c:v>
                </c:pt>
                <c:pt idx="25">
                  <c:v>4.7979797979797976</c:v>
                </c:pt>
                <c:pt idx="26">
                  <c:v>3.053435114503817</c:v>
                </c:pt>
                <c:pt idx="27">
                  <c:v>5.3900709219858154</c:v>
                </c:pt>
                <c:pt idx="28">
                  <c:v>5.1675977653631282</c:v>
                </c:pt>
                <c:pt idx="29">
                  <c:v>6.25</c:v>
                </c:pt>
                <c:pt idx="30">
                  <c:v>3.7209302325581395</c:v>
                </c:pt>
                <c:pt idx="31">
                  <c:v>6.0150375939849621</c:v>
                </c:pt>
                <c:pt idx="32">
                  <c:v>2.443991853360489</c:v>
                </c:pt>
                <c:pt idx="33">
                  <c:v>3.2934131736526946</c:v>
                </c:pt>
                <c:pt idx="34">
                  <c:v>1.5873015873015872</c:v>
                </c:pt>
                <c:pt idx="35">
                  <c:v>2.1739130434782608</c:v>
                </c:pt>
                <c:pt idx="36">
                  <c:v>0</c:v>
                </c:pt>
                <c:pt idx="37">
                  <c:v>2.3480662983425415</c:v>
                </c:pt>
                <c:pt idx="38">
                  <c:v>8.3582089552238799</c:v>
                </c:pt>
                <c:pt idx="39">
                  <c:v>3.0685920577617329</c:v>
                </c:pt>
                <c:pt idx="40">
                  <c:v>13.852813852813853</c:v>
                </c:pt>
                <c:pt idx="41">
                  <c:v>5.5214723926380369</c:v>
                </c:pt>
                <c:pt idx="42">
                  <c:v>4.5707915273132667</c:v>
                </c:pt>
                <c:pt idx="43">
                  <c:v>5.7766367137355585</c:v>
                </c:pt>
                <c:pt idx="44">
                  <c:v>3.4678436317780581</c:v>
                </c:pt>
                <c:pt idx="45">
                  <c:v>1.1780104712041886</c:v>
                </c:pt>
                <c:pt idx="46">
                  <c:v>0</c:v>
                </c:pt>
                <c:pt idx="47">
                  <c:v>5.5555555555555554</c:v>
                </c:pt>
                <c:pt idx="48">
                  <c:v>2.9207232267037551</c:v>
                </c:pt>
                <c:pt idx="49">
                  <c:v>4.0935672514619883</c:v>
                </c:pt>
                <c:pt idx="50">
                  <c:v>3.3377837116154874</c:v>
                </c:pt>
                <c:pt idx="51">
                  <c:v>4.5751633986928102</c:v>
                </c:pt>
                <c:pt idx="52">
                  <c:v>6.8278805120910384</c:v>
                </c:pt>
                <c:pt idx="53">
                  <c:v>1.2406947890818858</c:v>
                </c:pt>
                <c:pt idx="54">
                  <c:v>4.9319727891156466</c:v>
                </c:pt>
                <c:pt idx="55">
                  <c:v>4.6938775510204085</c:v>
                </c:pt>
                <c:pt idx="56">
                  <c:v>2.9968454258675079</c:v>
                </c:pt>
                <c:pt idx="57">
                  <c:v>4.520990312163617</c:v>
                </c:pt>
                <c:pt idx="58">
                  <c:v>2.6143790849673203</c:v>
                </c:pt>
                <c:pt idx="59">
                  <c:v>7.5949367088607591</c:v>
                </c:pt>
                <c:pt idx="60">
                  <c:v>3.3003300330033003</c:v>
                </c:pt>
                <c:pt idx="61">
                  <c:v>1.6887816646562124</c:v>
                </c:pt>
                <c:pt idx="62">
                  <c:v>3.053435114503817</c:v>
                </c:pt>
                <c:pt idx="63">
                  <c:v>4.8192771084337354</c:v>
                </c:pt>
                <c:pt idx="64">
                  <c:v>4.6296296296296298</c:v>
                </c:pt>
                <c:pt idx="65">
                  <c:v>4.788341429562804</c:v>
                </c:pt>
                <c:pt idx="66">
                  <c:v>4.9891540130151846</c:v>
                </c:pt>
                <c:pt idx="67">
                  <c:v>3.4782608695652173</c:v>
                </c:pt>
                <c:pt idx="68">
                  <c:v>7.6227390180878549</c:v>
                </c:pt>
                <c:pt idx="69">
                  <c:v>2.3162134944612287</c:v>
                </c:pt>
                <c:pt idx="70">
                  <c:v>6.024096385542169</c:v>
                </c:pt>
                <c:pt idx="71">
                  <c:v>5.0328227571115978</c:v>
                </c:pt>
                <c:pt idx="72">
                  <c:v>8.5069444444444446</c:v>
                </c:pt>
                <c:pt idx="73">
                  <c:v>4.4854881266490763</c:v>
                </c:pt>
                <c:pt idx="74">
                  <c:v>2.2831050228310503</c:v>
                </c:pt>
                <c:pt idx="75">
                  <c:v>4.4303797468354427</c:v>
                </c:pt>
                <c:pt idx="76">
                  <c:v>4.399633363886343</c:v>
                </c:pt>
                <c:pt idx="77">
                  <c:v>2.2690437601296596</c:v>
                </c:pt>
                <c:pt idx="78">
                  <c:v>3.9030955585464335</c:v>
                </c:pt>
                <c:pt idx="79">
                  <c:v>4.1958041958041958</c:v>
                </c:pt>
                <c:pt idx="80">
                  <c:v>6.064516129032258</c:v>
                </c:pt>
                <c:pt idx="81">
                  <c:v>5.9121621621621623</c:v>
                </c:pt>
                <c:pt idx="82">
                  <c:v>5.6955093099671412</c:v>
                </c:pt>
                <c:pt idx="83">
                  <c:v>8.4175084175084169</c:v>
                </c:pt>
                <c:pt idx="84">
                  <c:v>4.4576523031203568</c:v>
                </c:pt>
                <c:pt idx="85">
                  <c:v>3.1818181818181817</c:v>
                </c:pt>
                <c:pt idx="86">
                  <c:v>5.6047197640117998</c:v>
                </c:pt>
                <c:pt idx="87">
                  <c:v>3.9808917197452227</c:v>
                </c:pt>
                <c:pt idx="88">
                  <c:v>6.3565891472868215</c:v>
                </c:pt>
                <c:pt idx="89">
                  <c:v>3.5714285714285716</c:v>
                </c:pt>
                <c:pt idx="90">
                  <c:v>2.159827213822894</c:v>
                </c:pt>
                <c:pt idx="91">
                  <c:v>7.4519230769230766</c:v>
                </c:pt>
                <c:pt idx="92">
                  <c:v>1.5514809590973202</c:v>
                </c:pt>
                <c:pt idx="93">
                  <c:v>1.9987105093488071</c:v>
                </c:pt>
                <c:pt idx="94">
                  <c:v>0.78236130867709819</c:v>
                </c:pt>
                <c:pt idx="95">
                  <c:v>4.1322314049586772</c:v>
                </c:pt>
                <c:pt idx="96">
                  <c:v>0.625</c:v>
                </c:pt>
                <c:pt idx="97">
                  <c:v>22.202643171806166</c:v>
                </c:pt>
                <c:pt idx="98">
                  <c:v>3.9900249376558605</c:v>
                </c:pt>
                <c:pt idx="99">
                  <c:v>5.2311435523114351</c:v>
                </c:pt>
                <c:pt idx="100">
                  <c:v>5.1209103840682788</c:v>
                </c:pt>
                <c:pt idx="101">
                  <c:v>13.391304347826088</c:v>
                </c:pt>
                <c:pt idx="102">
                  <c:v>6.5913370998116765</c:v>
                </c:pt>
                <c:pt idx="103">
                  <c:v>0</c:v>
                </c:pt>
                <c:pt idx="104">
                  <c:v>3.75</c:v>
                </c:pt>
                <c:pt idx="105">
                  <c:v>3.5532994923857868</c:v>
                </c:pt>
                <c:pt idx="106">
                  <c:v>5.10752688172043</c:v>
                </c:pt>
                <c:pt idx="107">
                  <c:v>4.1514041514041518</c:v>
                </c:pt>
                <c:pt idx="108">
                  <c:v>3.7344398340248963</c:v>
                </c:pt>
                <c:pt idx="109">
                  <c:v>3.3333333333333335</c:v>
                </c:pt>
                <c:pt idx="110">
                  <c:v>2.7063599458728009</c:v>
                </c:pt>
                <c:pt idx="111">
                  <c:v>2.7196652719665271</c:v>
                </c:pt>
                <c:pt idx="112">
                  <c:v>3.5416666666666665</c:v>
                </c:pt>
                <c:pt idx="113">
                  <c:v>1.5437392795883362</c:v>
                </c:pt>
                <c:pt idx="114">
                  <c:v>5.3364269141531322</c:v>
                </c:pt>
                <c:pt idx="115">
                  <c:v>3.0769230769230771</c:v>
                </c:pt>
                <c:pt idx="116">
                  <c:v>3.8873994638069704</c:v>
                </c:pt>
                <c:pt idx="117">
                  <c:v>3.3236994219653178</c:v>
                </c:pt>
                <c:pt idx="118">
                  <c:v>0</c:v>
                </c:pt>
                <c:pt idx="119">
                  <c:v>4.8754062838569885</c:v>
                </c:pt>
                <c:pt idx="120">
                  <c:v>3.7845705967976708</c:v>
                </c:pt>
                <c:pt idx="121">
                  <c:v>2.9702970297029703</c:v>
                </c:pt>
                <c:pt idx="122">
                  <c:v>3.3033033033033035</c:v>
                </c:pt>
                <c:pt idx="123">
                  <c:v>5.5319148936170217</c:v>
                </c:pt>
                <c:pt idx="124">
                  <c:v>6.9356872635561162</c:v>
                </c:pt>
                <c:pt idx="125">
                  <c:v>5.0215208034433285</c:v>
                </c:pt>
                <c:pt idx="126">
                  <c:v>2.6699029126213594</c:v>
                </c:pt>
                <c:pt idx="127">
                  <c:v>6.5187239944521496</c:v>
                </c:pt>
                <c:pt idx="128">
                  <c:v>9.295774647887324</c:v>
                </c:pt>
                <c:pt idx="129">
                  <c:v>5.0373134328358207</c:v>
                </c:pt>
                <c:pt idx="130">
                  <c:v>3.883495145631068</c:v>
                </c:pt>
                <c:pt idx="131">
                  <c:v>3.3264033264033266</c:v>
                </c:pt>
                <c:pt idx="132">
                  <c:v>3.4482758620689653</c:v>
                </c:pt>
                <c:pt idx="133">
                  <c:v>3.1120331950207469</c:v>
                </c:pt>
                <c:pt idx="134">
                  <c:v>2.0992366412213741</c:v>
                </c:pt>
                <c:pt idx="135">
                  <c:v>3.420752565564424</c:v>
                </c:pt>
                <c:pt idx="136">
                  <c:v>5.4867256637168138</c:v>
                </c:pt>
                <c:pt idx="137">
                  <c:v>2.0746887966804981</c:v>
                </c:pt>
                <c:pt idx="138">
                  <c:v>5.0649350649350646</c:v>
                </c:pt>
                <c:pt idx="139">
                  <c:v>3.2301480484522207</c:v>
                </c:pt>
                <c:pt idx="140">
                  <c:v>13.264495631453535</c:v>
                </c:pt>
                <c:pt idx="141">
                  <c:v>6.0957910014513788</c:v>
                </c:pt>
                <c:pt idx="142">
                  <c:v>3.6569987389659522</c:v>
                </c:pt>
                <c:pt idx="143">
                  <c:v>4.3296089385474863</c:v>
                </c:pt>
                <c:pt idx="144">
                  <c:v>5.4200542005420056</c:v>
                </c:pt>
                <c:pt idx="145">
                  <c:v>3.8876889848812093</c:v>
                </c:pt>
                <c:pt idx="146">
                  <c:v>30.3125</c:v>
                </c:pt>
                <c:pt idx="147">
                  <c:v>3.8155802861685215</c:v>
                </c:pt>
                <c:pt idx="148">
                  <c:v>2.6378896882494005</c:v>
                </c:pt>
                <c:pt idx="149">
                  <c:v>3.080568720379147</c:v>
                </c:pt>
                <c:pt idx="150">
                  <c:v>2.2988505747126435</c:v>
                </c:pt>
                <c:pt idx="151">
                  <c:v>2.0161290322580645</c:v>
                </c:pt>
                <c:pt idx="152">
                  <c:v>2.7681660899653977</c:v>
                </c:pt>
                <c:pt idx="153">
                  <c:v>2.5844930417495031</c:v>
                </c:pt>
                <c:pt idx="154">
                  <c:v>2.821869488536155</c:v>
                </c:pt>
                <c:pt idx="155">
                  <c:v>5.7450628366247756</c:v>
                </c:pt>
                <c:pt idx="156">
                  <c:v>39.48256467941507</c:v>
                </c:pt>
                <c:pt idx="157">
                  <c:v>3.2581453634085213</c:v>
                </c:pt>
                <c:pt idx="158">
                  <c:v>3.6111111111111112</c:v>
                </c:pt>
                <c:pt idx="159">
                  <c:v>2.6315789473684212</c:v>
                </c:pt>
                <c:pt idx="160">
                  <c:v>4.7817047817047813</c:v>
                </c:pt>
                <c:pt idx="161">
                  <c:v>2.0434227330779056</c:v>
                </c:pt>
                <c:pt idx="162">
                  <c:v>1.1214953271028036</c:v>
                </c:pt>
                <c:pt idx="163">
                  <c:v>3.7996545768566494</c:v>
                </c:pt>
                <c:pt idx="164">
                  <c:v>2.3423423423423424</c:v>
                </c:pt>
                <c:pt idx="165">
                  <c:v>2.5682182985553772</c:v>
                </c:pt>
                <c:pt idx="166">
                  <c:v>2.8513238289205702</c:v>
                </c:pt>
                <c:pt idx="167">
                  <c:v>3.5785288270377733</c:v>
                </c:pt>
                <c:pt idx="168">
                  <c:v>4.0927694406548429</c:v>
                </c:pt>
                <c:pt idx="169">
                  <c:v>7.03125</c:v>
                </c:pt>
                <c:pt idx="170">
                  <c:v>3.2028469750889679</c:v>
                </c:pt>
                <c:pt idx="171">
                  <c:v>4.8169556840077075</c:v>
                </c:pt>
                <c:pt idx="172">
                  <c:v>3.8567493112947657</c:v>
                </c:pt>
                <c:pt idx="173">
                  <c:v>6.5963060686015833</c:v>
                </c:pt>
                <c:pt idx="174">
                  <c:v>4.1095890410958908</c:v>
                </c:pt>
                <c:pt idx="175">
                  <c:v>6.3829787234042552</c:v>
                </c:pt>
                <c:pt idx="176">
                  <c:v>2.1144278606965172</c:v>
                </c:pt>
                <c:pt idx="177">
                  <c:v>0.60893098782138022</c:v>
                </c:pt>
                <c:pt idx="178">
                  <c:v>2.6315789473684212</c:v>
                </c:pt>
                <c:pt idx="179">
                  <c:v>4.9056603773584904</c:v>
                </c:pt>
                <c:pt idx="180">
                  <c:v>4.8920863309352516</c:v>
                </c:pt>
                <c:pt idx="181">
                  <c:v>2.734375</c:v>
                </c:pt>
              </c:numCache>
            </c:numRef>
          </c:yVal>
          <c:bubbleSize>
            <c:numRef>
              <c:f>'Мособлдума партии'!$J$2:$J$183</c:f>
              <c:numCache>
                <c:formatCode>General</c:formatCode>
                <c:ptCount val="182"/>
                <c:pt idx="0">
                  <c:v>2451</c:v>
                </c:pt>
                <c:pt idx="1">
                  <c:v>1792</c:v>
                </c:pt>
                <c:pt idx="2">
                  <c:v>1987</c:v>
                </c:pt>
                <c:pt idx="3">
                  <c:v>2122</c:v>
                </c:pt>
                <c:pt idx="4">
                  <c:v>1909</c:v>
                </c:pt>
                <c:pt idx="5">
                  <c:v>1948</c:v>
                </c:pt>
                <c:pt idx="6">
                  <c:v>1966</c:v>
                </c:pt>
                <c:pt idx="7">
                  <c:v>1755</c:v>
                </c:pt>
                <c:pt idx="8">
                  <c:v>2053</c:v>
                </c:pt>
                <c:pt idx="9">
                  <c:v>2353</c:v>
                </c:pt>
                <c:pt idx="10">
                  <c:v>2236</c:v>
                </c:pt>
                <c:pt idx="11">
                  <c:v>878</c:v>
                </c:pt>
                <c:pt idx="12">
                  <c:v>1109</c:v>
                </c:pt>
                <c:pt idx="13">
                  <c:v>2346</c:v>
                </c:pt>
                <c:pt idx="14">
                  <c:v>1222</c:v>
                </c:pt>
                <c:pt idx="15">
                  <c:v>1986</c:v>
                </c:pt>
                <c:pt idx="16">
                  <c:v>391</c:v>
                </c:pt>
                <c:pt idx="17">
                  <c:v>1248</c:v>
                </c:pt>
                <c:pt idx="18">
                  <c:v>1716</c:v>
                </c:pt>
                <c:pt idx="19">
                  <c:v>2695</c:v>
                </c:pt>
                <c:pt idx="20">
                  <c:v>1800</c:v>
                </c:pt>
                <c:pt idx="21">
                  <c:v>2108</c:v>
                </c:pt>
                <c:pt idx="22">
                  <c:v>2215</c:v>
                </c:pt>
                <c:pt idx="23">
                  <c:v>2112</c:v>
                </c:pt>
                <c:pt idx="24">
                  <c:v>2268</c:v>
                </c:pt>
                <c:pt idx="25">
                  <c:v>2112</c:v>
                </c:pt>
                <c:pt idx="26">
                  <c:v>2016</c:v>
                </c:pt>
                <c:pt idx="27">
                  <c:v>2330</c:v>
                </c:pt>
                <c:pt idx="28">
                  <c:v>1867</c:v>
                </c:pt>
                <c:pt idx="29">
                  <c:v>1777</c:v>
                </c:pt>
                <c:pt idx="30">
                  <c:v>1121</c:v>
                </c:pt>
                <c:pt idx="31">
                  <c:v>2249</c:v>
                </c:pt>
                <c:pt idx="32">
                  <c:v>1262</c:v>
                </c:pt>
                <c:pt idx="33">
                  <c:v>553</c:v>
                </c:pt>
                <c:pt idx="34">
                  <c:v>932</c:v>
                </c:pt>
                <c:pt idx="35">
                  <c:v>2579</c:v>
                </c:pt>
                <c:pt idx="36">
                  <c:v>1659</c:v>
                </c:pt>
                <c:pt idx="37">
                  <c:v>1947</c:v>
                </c:pt>
                <c:pt idx="38">
                  <c:v>857</c:v>
                </c:pt>
                <c:pt idx="39">
                  <c:v>1412</c:v>
                </c:pt>
                <c:pt idx="40">
                  <c:v>2047</c:v>
                </c:pt>
                <c:pt idx="41">
                  <c:v>536</c:v>
                </c:pt>
                <c:pt idx="42">
                  <c:v>2687</c:v>
                </c:pt>
                <c:pt idx="43">
                  <c:v>2348</c:v>
                </c:pt>
                <c:pt idx="44">
                  <c:v>2383</c:v>
                </c:pt>
                <c:pt idx="45">
                  <c:v>1001</c:v>
                </c:pt>
                <c:pt idx="46">
                  <c:v>439</c:v>
                </c:pt>
                <c:pt idx="47">
                  <c:v>1596</c:v>
                </c:pt>
                <c:pt idx="48">
                  <c:v>1548</c:v>
                </c:pt>
                <c:pt idx="49">
                  <c:v>2222</c:v>
                </c:pt>
                <c:pt idx="50">
                  <c:v>1888</c:v>
                </c:pt>
                <c:pt idx="51">
                  <c:v>1665</c:v>
                </c:pt>
                <c:pt idx="52">
                  <c:v>1691</c:v>
                </c:pt>
                <c:pt idx="53">
                  <c:v>517</c:v>
                </c:pt>
                <c:pt idx="54">
                  <c:v>1745</c:v>
                </c:pt>
                <c:pt idx="55">
                  <c:v>1453</c:v>
                </c:pt>
                <c:pt idx="56">
                  <c:v>1496</c:v>
                </c:pt>
                <c:pt idx="57">
                  <c:v>2669</c:v>
                </c:pt>
                <c:pt idx="58">
                  <c:v>2799</c:v>
                </c:pt>
                <c:pt idx="59">
                  <c:v>2544</c:v>
                </c:pt>
                <c:pt idx="60">
                  <c:v>1670</c:v>
                </c:pt>
                <c:pt idx="61">
                  <c:v>1891</c:v>
                </c:pt>
                <c:pt idx="62">
                  <c:v>1984</c:v>
                </c:pt>
                <c:pt idx="63">
                  <c:v>628</c:v>
                </c:pt>
                <c:pt idx="64">
                  <c:v>1469</c:v>
                </c:pt>
                <c:pt idx="65">
                  <c:v>2564</c:v>
                </c:pt>
                <c:pt idx="66">
                  <c:v>711</c:v>
                </c:pt>
                <c:pt idx="67">
                  <c:v>676</c:v>
                </c:pt>
                <c:pt idx="68">
                  <c:v>1747</c:v>
                </c:pt>
                <c:pt idx="69">
                  <c:v>1907</c:v>
                </c:pt>
                <c:pt idx="70">
                  <c:v>1194</c:v>
                </c:pt>
                <c:pt idx="71">
                  <c:v>1129</c:v>
                </c:pt>
                <c:pt idx="72">
                  <c:v>1498</c:v>
                </c:pt>
                <c:pt idx="73">
                  <c:v>1859</c:v>
                </c:pt>
                <c:pt idx="74">
                  <c:v>1315</c:v>
                </c:pt>
                <c:pt idx="75">
                  <c:v>1300</c:v>
                </c:pt>
                <c:pt idx="76">
                  <c:v>2038</c:v>
                </c:pt>
                <c:pt idx="77">
                  <c:v>1190</c:v>
                </c:pt>
                <c:pt idx="78">
                  <c:v>1521</c:v>
                </c:pt>
                <c:pt idx="79">
                  <c:v>710</c:v>
                </c:pt>
                <c:pt idx="80">
                  <c:v>1525</c:v>
                </c:pt>
                <c:pt idx="81">
                  <c:v>1495</c:v>
                </c:pt>
                <c:pt idx="82">
                  <c:v>1808</c:v>
                </c:pt>
                <c:pt idx="83">
                  <c:v>2012</c:v>
                </c:pt>
                <c:pt idx="84">
                  <c:v>1681</c:v>
                </c:pt>
                <c:pt idx="85">
                  <c:v>1685</c:v>
                </c:pt>
                <c:pt idx="86">
                  <c:v>1529</c:v>
                </c:pt>
                <c:pt idx="87">
                  <c:v>1800</c:v>
                </c:pt>
                <c:pt idx="88">
                  <c:v>1896</c:v>
                </c:pt>
                <c:pt idx="89">
                  <c:v>1963</c:v>
                </c:pt>
                <c:pt idx="90">
                  <c:v>1902</c:v>
                </c:pt>
                <c:pt idx="91">
                  <c:v>1647</c:v>
                </c:pt>
                <c:pt idx="92">
                  <c:v>1316</c:v>
                </c:pt>
                <c:pt idx="93">
                  <c:v>2424</c:v>
                </c:pt>
                <c:pt idx="94">
                  <c:v>2162</c:v>
                </c:pt>
                <c:pt idx="95">
                  <c:v>1230</c:v>
                </c:pt>
                <c:pt idx="96">
                  <c:v>901</c:v>
                </c:pt>
                <c:pt idx="97">
                  <c:v>2387</c:v>
                </c:pt>
                <c:pt idx="98">
                  <c:v>1535</c:v>
                </c:pt>
                <c:pt idx="99">
                  <c:v>2645</c:v>
                </c:pt>
                <c:pt idx="100">
                  <c:v>2043</c:v>
                </c:pt>
                <c:pt idx="101">
                  <c:v>1990</c:v>
                </c:pt>
                <c:pt idx="102">
                  <c:v>988</c:v>
                </c:pt>
                <c:pt idx="103">
                  <c:v>132</c:v>
                </c:pt>
                <c:pt idx="104">
                  <c:v>83</c:v>
                </c:pt>
                <c:pt idx="105">
                  <c:v>1763</c:v>
                </c:pt>
                <c:pt idx="106">
                  <c:v>1063</c:v>
                </c:pt>
                <c:pt idx="107">
                  <c:v>2316</c:v>
                </c:pt>
                <c:pt idx="108">
                  <c:v>1250</c:v>
                </c:pt>
                <c:pt idx="109">
                  <c:v>1265</c:v>
                </c:pt>
                <c:pt idx="110">
                  <c:v>1736</c:v>
                </c:pt>
                <c:pt idx="111">
                  <c:v>2586</c:v>
                </c:pt>
                <c:pt idx="112">
                  <c:v>1243</c:v>
                </c:pt>
                <c:pt idx="113">
                  <c:v>1451</c:v>
                </c:pt>
                <c:pt idx="114">
                  <c:v>1179</c:v>
                </c:pt>
                <c:pt idx="115">
                  <c:v>2285</c:v>
                </c:pt>
                <c:pt idx="116">
                  <c:v>1678</c:v>
                </c:pt>
                <c:pt idx="117">
                  <c:v>2025</c:v>
                </c:pt>
                <c:pt idx="118">
                  <c:v>0</c:v>
                </c:pt>
                <c:pt idx="119">
                  <c:v>2430</c:v>
                </c:pt>
                <c:pt idx="120">
                  <c:v>2209</c:v>
                </c:pt>
                <c:pt idx="121">
                  <c:v>2330</c:v>
                </c:pt>
                <c:pt idx="122">
                  <c:v>2013</c:v>
                </c:pt>
                <c:pt idx="123">
                  <c:v>2023</c:v>
                </c:pt>
                <c:pt idx="124">
                  <c:v>2032</c:v>
                </c:pt>
                <c:pt idx="125">
                  <c:v>1759</c:v>
                </c:pt>
                <c:pt idx="126">
                  <c:v>2293</c:v>
                </c:pt>
                <c:pt idx="127">
                  <c:v>2176</c:v>
                </c:pt>
                <c:pt idx="128">
                  <c:v>1998</c:v>
                </c:pt>
                <c:pt idx="129">
                  <c:v>1307</c:v>
                </c:pt>
                <c:pt idx="130">
                  <c:v>1453</c:v>
                </c:pt>
                <c:pt idx="131">
                  <c:v>1520</c:v>
                </c:pt>
                <c:pt idx="132">
                  <c:v>1462</c:v>
                </c:pt>
                <c:pt idx="133">
                  <c:v>1433</c:v>
                </c:pt>
                <c:pt idx="134">
                  <c:v>1850</c:v>
                </c:pt>
                <c:pt idx="135">
                  <c:v>2111</c:v>
                </c:pt>
                <c:pt idx="136">
                  <c:v>1035</c:v>
                </c:pt>
                <c:pt idx="137">
                  <c:v>1915</c:v>
                </c:pt>
                <c:pt idx="138">
                  <c:v>2290</c:v>
                </c:pt>
                <c:pt idx="139">
                  <c:v>2253</c:v>
                </c:pt>
                <c:pt idx="140">
                  <c:v>1800</c:v>
                </c:pt>
                <c:pt idx="141">
                  <c:v>2162</c:v>
                </c:pt>
                <c:pt idx="142">
                  <c:v>2058</c:v>
                </c:pt>
                <c:pt idx="143">
                  <c:v>2109</c:v>
                </c:pt>
                <c:pt idx="144">
                  <c:v>1251</c:v>
                </c:pt>
                <c:pt idx="145">
                  <c:v>1278</c:v>
                </c:pt>
                <c:pt idx="146">
                  <c:v>981</c:v>
                </c:pt>
                <c:pt idx="147">
                  <c:v>1911</c:v>
                </c:pt>
                <c:pt idx="148">
                  <c:v>2296</c:v>
                </c:pt>
                <c:pt idx="149">
                  <c:v>2186</c:v>
                </c:pt>
                <c:pt idx="150">
                  <c:v>2642</c:v>
                </c:pt>
                <c:pt idx="151">
                  <c:v>1775</c:v>
                </c:pt>
                <c:pt idx="152">
                  <c:v>1894</c:v>
                </c:pt>
                <c:pt idx="153">
                  <c:v>2070</c:v>
                </c:pt>
                <c:pt idx="154">
                  <c:v>2196</c:v>
                </c:pt>
                <c:pt idx="155">
                  <c:v>2551</c:v>
                </c:pt>
                <c:pt idx="156">
                  <c:v>2922</c:v>
                </c:pt>
                <c:pt idx="157">
                  <c:v>752</c:v>
                </c:pt>
                <c:pt idx="158">
                  <c:v>793</c:v>
                </c:pt>
                <c:pt idx="159">
                  <c:v>1731</c:v>
                </c:pt>
                <c:pt idx="160">
                  <c:v>1086</c:v>
                </c:pt>
                <c:pt idx="161">
                  <c:v>3026</c:v>
                </c:pt>
                <c:pt idx="162">
                  <c:v>2514</c:v>
                </c:pt>
                <c:pt idx="163">
                  <c:v>2308</c:v>
                </c:pt>
                <c:pt idx="164">
                  <c:v>2212</c:v>
                </c:pt>
                <c:pt idx="165">
                  <c:v>2419</c:v>
                </c:pt>
                <c:pt idx="166">
                  <c:v>2132</c:v>
                </c:pt>
                <c:pt idx="167">
                  <c:v>2359</c:v>
                </c:pt>
                <c:pt idx="168">
                  <c:v>2958</c:v>
                </c:pt>
                <c:pt idx="169">
                  <c:v>749</c:v>
                </c:pt>
                <c:pt idx="170">
                  <c:v>2663</c:v>
                </c:pt>
                <c:pt idx="171">
                  <c:v>1277</c:v>
                </c:pt>
                <c:pt idx="172">
                  <c:v>1094</c:v>
                </c:pt>
                <c:pt idx="173">
                  <c:v>1232</c:v>
                </c:pt>
                <c:pt idx="174">
                  <c:v>1023</c:v>
                </c:pt>
                <c:pt idx="175">
                  <c:v>1695</c:v>
                </c:pt>
                <c:pt idx="176">
                  <c:v>1677</c:v>
                </c:pt>
                <c:pt idx="177">
                  <c:v>2354</c:v>
                </c:pt>
                <c:pt idx="178">
                  <c:v>1806</c:v>
                </c:pt>
                <c:pt idx="179">
                  <c:v>1294</c:v>
                </c:pt>
                <c:pt idx="180">
                  <c:v>1640</c:v>
                </c:pt>
                <c:pt idx="181">
                  <c:v>1068</c:v>
                </c:pt>
              </c:numCache>
            </c:numRef>
          </c:bubbleSize>
          <c:bubble3D val="0"/>
          <c:extLst>
            <c:ext xmlns:c16="http://schemas.microsoft.com/office/drawing/2014/chart" uri="{C3380CC4-5D6E-409C-BE32-E72D297353CC}">
              <c16:uniqueId val="{00000000-8619-4067-AE05-ED606DF4614F}"/>
            </c:ext>
          </c:extLst>
        </c:ser>
        <c:ser>
          <c:idx val="1"/>
          <c:order val="11"/>
          <c:tx>
            <c:strRef>
              <c:f>'Мособлдума партии'!$U$1</c:f>
              <c:strCache>
                <c:ptCount val="1"/>
                <c:pt idx="0">
                  <c:v>Надомка</c:v>
                </c:pt>
              </c:strCache>
            </c:strRef>
          </c:tx>
          <c:spPr>
            <a:noFill/>
            <a:ln w="6350">
              <a:solidFill>
                <a:srgbClr val="000000"/>
              </a:solidFill>
              <a:prstDash val="sysDot"/>
            </a:ln>
          </c:spPr>
          <c:invertIfNegative val="0"/>
          <c:xVal>
            <c:numRef>
              <c:f>'Мособлдума партии'!$O$2:$O$183</c:f>
              <c:numCache>
                <c:formatCode>0.0</c:formatCode>
                <c:ptCount val="182"/>
                <c:pt idx="0">
                  <c:v>65.483476132190944</c:v>
                </c:pt>
                <c:pt idx="1">
                  <c:v>53.515625</c:v>
                </c:pt>
                <c:pt idx="2">
                  <c:v>54.8565676899849</c:v>
                </c:pt>
                <c:pt idx="3">
                  <c:v>54.665409990574929</c:v>
                </c:pt>
                <c:pt idx="4">
                  <c:v>48.402304871660554</c:v>
                </c:pt>
                <c:pt idx="5">
                  <c:v>50.359342915811091</c:v>
                </c:pt>
                <c:pt idx="6">
                  <c:v>59.511698880976603</c:v>
                </c:pt>
                <c:pt idx="7">
                  <c:v>73.105413105413106</c:v>
                </c:pt>
                <c:pt idx="8">
                  <c:v>71.602532878714072</c:v>
                </c:pt>
                <c:pt idx="9">
                  <c:v>36.124096897577559</c:v>
                </c:pt>
                <c:pt idx="10">
                  <c:v>25.402504472271914</c:v>
                </c:pt>
                <c:pt idx="11">
                  <c:v>72.779043280182236</c:v>
                </c:pt>
                <c:pt idx="12">
                  <c:v>50.76645626690712</c:v>
                </c:pt>
                <c:pt idx="13">
                  <c:v>35.336743393009378</c:v>
                </c:pt>
                <c:pt idx="14">
                  <c:v>46.317512274959086</c:v>
                </c:pt>
                <c:pt idx="15">
                  <c:v>29.405840886203425</c:v>
                </c:pt>
                <c:pt idx="16">
                  <c:v>43.734015345268546</c:v>
                </c:pt>
                <c:pt idx="17">
                  <c:v>31.410256410256409</c:v>
                </c:pt>
                <c:pt idx="18">
                  <c:v>48.484848484848484</c:v>
                </c:pt>
                <c:pt idx="19">
                  <c:v>35.881261595547308</c:v>
                </c:pt>
                <c:pt idx="20">
                  <c:v>24.388888888888889</c:v>
                </c:pt>
                <c:pt idx="21">
                  <c:v>46.110056925996204</c:v>
                </c:pt>
                <c:pt idx="22">
                  <c:v>30.428893905191874</c:v>
                </c:pt>
                <c:pt idx="23">
                  <c:v>35.842803030303031</c:v>
                </c:pt>
                <c:pt idx="24">
                  <c:v>30.996472663139329</c:v>
                </c:pt>
                <c:pt idx="25">
                  <c:v>37.5</c:v>
                </c:pt>
                <c:pt idx="26">
                  <c:v>45.486111111111114</c:v>
                </c:pt>
                <c:pt idx="27">
                  <c:v>30.472103004291846</c:v>
                </c:pt>
                <c:pt idx="28">
                  <c:v>38.564542046063202</c:v>
                </c:pt>
                <c:pt idx="29">
                  <c:v>34.21496904895892</c:v>
                </c:pt>
                <c:pt idx="30">
                  <c:v>38.358608385370204</c:v>
                </c:pt>
                <c:pt idx="31">
                  <c:v>29.568697198755004</c:v>
                </c:pt>
                <c:pt idx="32">
                  <c:v>38.906497622820922</c:v>
                </c:pt>
                <c:pt idx="33">
                  <c:v>60.397830018083184</c:v>
                </c:pt>
                <c:pt idx="34">
                  <c:v>40.557939914163093</c:v>
                </c:pt>
                <c:pt idx="35">
                  <c:v>60.643660333462584</c:v>
                </c:pt>
                <c:pt idx="36">
                  <c:v>80.892103676913806</c:v>
                </c:pt>
                <c:pt idx="37">
                  <c:v>37.185413456599896</c:v>
                </c:pt>
                <c:pt idx="38">
                  <c:v>39.089848308051344</c:v>
                </c:pt>
                <c:pt idx="39">
                  <c:v>39.518413597733712</c:v>
                </c:pt>
                <c:pt idx="40">
                  <c:v>34.831460674157306</c:v>
                </c:pt>
                <c:pt idx="41">
                  <c:v>30.410447761194028</c:v>
                </c:pt>
                <c:pt idx="42">
                  <c:v>33.382954968366207</c:v>
                </c:pt>
                <c:pt idx="43">
                  <c:v>33.17717206132879</c:v>
                </c:pt>
                <c:pt idx="44">
                  <c:v>66.638690725975664</c:v>
                </c:pt>
                <c:pt idx="45">
                  <c:v>76.323676323676324</c:v>
                </c:pt>
                <c:pt idx="46">
                  <c:v>63.553530751708429</c:v>
                </c:pt>
                <c:pt idx="47">
                  <c:v>38.345864661654133</c:v>
                </c:pt>
                <c:pt idx="48">
                  <c:v>46.447028423772608</c:v>
                </c:pt>
                <c:pt idx="49">
                  <c:v>54.770477047704773</c:v>
                </c:pt>
                <c:pt idx="50">
                  <c:v>39.671610169491522</c:v>
                </c:pt>
                <c:pt idx="51">
                  <c:v>36.756756756756758</c:v>
                </c:pt>
                <c:pt idx="52">
                  <c:v>41.573033707865171</c:v>
                </c:pt>
                <c:pt idx="53">
                  <c:v>77.949709864603477</c:v>
                </c:pt>
                <c:pt idx="54">
                  <c:v>33.753581661891118</c:v>
                </c:pt>
                <c:pt idx="55">
                  <c:v>33.72333103922918</c:v>
                </c:pt>
                <c:pt idx="56">
                  <c:v>42.37967914438503</c:v>
                </c:pt>
                <c:pt idx="57">
                  <c:v>34.80704383664294</c:v>
                </c:pt>
                <c:pt idx="58">
                  <c:v>27.331189710610932</c:v>
                </c:pt>
                <c:pt idx="59">
                  <c:v>40.369496855345915</c:v>
                </c:pt>
                <c:pt idx="60">
                  <c:v>36.407185628742518</c:v>
                </c:pt>
                <c:pt idx="61">
                  <c:v>43.839238498149129</c:v>
                </c:pt>
                <c:pt idx="62">
                  <c:v>26.411290322580644</c:v>
                </c:pt>
                <c:pt idx="63">
                  <c:v>26.433121019108281</c:v>
                </c:pt>
                <c:pt idx="64">
                  <c:v>29.407760381211709</c:v>
                </c:pt>
                <c:pt idx="65">
                  <c:v>56.201248049922</c:v>
                </c:pt>
                <c:pt idx="66">
                  <c:v>64.838255977496488</c:v>
                </c:pt>
                <c:pt idx="67">
                  <c:v>51.035502958579883</c:v>
                </c:pt>
                <c:pt idx="68">
                  <c:v>44.304522037779051</c:v>
                </c:pt>
                <c:pt idx="69">
                  <c:v>52.071316203460931</c:v>
                </c:pt>
                <c:pt idx="70">
                  <c:v>34.757118927973202</c:v>
                </c:pt>
                <c:pt idx="71">
                  <c:v>40.566873339238263</c:v>
                </c:pt>
                <c:pt idx="72">
                  <c:v>38.851802403204275</c:v>
                </c:pt>
                <c:pt idx="73">
                  <c:v>20.387305002689619</c:v>
                </c:pt>
                <c:pt idx="74">
                  <c:v>33.460076045627375</c:v>
                </c:pt>
                <c:pt idx="75">
                  <c:v>48.615384615384613</c:v>
                </c:pt>
                <c:pt idx="76">
                  <c:v>53.680078508341509</c:v>
                </c:pt>
                <c:pt idx="77">
                  <c:v>64.369747899159663</c:v>
                </c:pt>
                <c:pt idx="78">
                  <c:v>48.849441157133462</c:v>
                </c:pt>
                <c:pt idx="79">
                  <c:v>40.281690140845072</c:v>
                </c:pt>
                <c:pt idx="80">
                  <c:v>50.819672131147541</c:v>
                </c:pt>
                <c:pt idx="81">
                  <c:v>39.598662207357862</c:v>
                </c:pt>
                <c:pt idx="82">
                  <c:v>50.497787610619469</c:v>
                </c:pt>
                <c:pt idx="83">
                  <c:v>44.284294234592444</c:v>
                </c:pt>
                <c:pt idx="84">
                  <c:v>40.035693039857229</c:v>
                </c:pt>
                <c:pt idx="85">
                  <c:v>39.169139465875368</c:v>
                </c:pt>
                <c:pt idx="86">
                  <c:v>44.34270765206017</c:v>
                </c:pt>
                <c:pt idx="87">
                  <c:v>34.888888888888886</c:v>
                </c:pt>
                <c:pt idx="88">
                  <c:v>36.497890295358651</c:v>
                </c:pt>
                <c:pt idx="89">
                  <c:v>42.791645440652061</c:v>
                </c:pt>
                <c:pt idx="90">
                  <c:v>48.685594111461619</c:v>
                </c:pt>
                <c:pt idx="91">
                  <c:v>50.516089860352153</c:v>
                </c:pt>
                <c:pt idx="92">
                  <c:v>53.875379939209729</c:v>
                </c:pt>
                <c:pt idx="93">
                  <c:v>63.985148514851488</c:v>
                </c:pt>
                <c:pt idx="94">
                  <c:v>65.171137835337646</c:v>
                </c:pt>
                <c:pt idx="95">
                  <c:v>49.1869918699187</c:v>
                </c:pt>
                <c:pt idx="96">
                  <c:v>53.274139844617089</c:v>
                </c:pt>
                <c:pt idx="97">
                  <c:v>47.549224968579807</c:v>
                </c:pt>
                <c:pt idx="98">
                  <c:v>52.247557003257327</c:v>
                </c:pt>
                <c:pt idx="99">
                  <c:v>31.077504725897921</c:v>
                </c:pt>
                <c:pt idx="100">
                  <c:v>34.410181106216349</c:v>
                </c:pt>
                <c:pt idx="101">
                  <c:v>58.090452261306531</c:v>
                </c:pt>
                <c:pt idx="102">
                  <c:v>54.251012145748987</c:v>
                </c:pt>
                <c:pt idx="103">
                  <c:v>100</c:v>
                </c:pt>
                <c:pt idx="104">
                  <c:v>96.385542168674704</c:v>
                </c:pt>
                <c:pt idx="105">
                  <c:v>44.696539988655701</c:v>
                </c:pt>
                <c:pt idx="106">
                  <c:v>34.995296331138285</c:v>
                </c:pt>
                <c:pt idx="107">
                  <c:v>35.362694300518136</c:v>
                </c:pt>
                <c:pt idx="108">
                  <c:v>39.04</c:v>
                </c:pt>
                <c:pt idx="109">
                  <c:v>35.573122529644266</c:v>
                </c:pt>
                <c:pt idx="110">
                  <c:v>44.124423963133637</c:v>
                </c:pt>
                <c:pt idx="111">
                  <c:v>38.940448569218873</c:v>
                </c:pt>
                <c:pt idx="112">
                  <c:v>38.696701528559935</c:v>
                </c:pt>
                <c:pt idx="113">
                  <c:v>40.17918676774638</c:v>
                </c:pt>
                <c:pt idx="114">
                  <c:v>36.726039016115351</c:v>
                </c:pt>
                <c:pt idx="115">
                  <c:v>34.266958424507656</c:v>
                </c:pt>
                <c:pt idx="116">
                  <c:v>44.636471990464841</c:v>
                </c:pt>
                <c:pt idx="117">
                  <c:v>34.172839506172842</c:v>
                </c:pt>
                <c:pt idx="118">
                  <c:v>0</c:v>
                </c:pt>
                <c:pt idx="119">
                  <c:v>38.02469135802469</c:v>
                </c:pt>
                <c:pt idx="120">
                  <c:v>31.100045269352648</c:v>
                </c:pt>
                <c:pt idx="121">
                  <c:v>52.017167381974247</c:v>
                </c:pt>
                <c:pt idx="122">
                  <c:v>34.624937903626432</c:v>
                </c:pt>
                <c:pt idx="123">
                  <c:v>35.096391497775578</c:v>
                </c:pt>
                <c:pt idx="124">
                  <c:v>42.913385826771652</c:v>
                </c:pt>
                <c:pt idx="125">
                  <c:v>39.681637293916999</c:v>
                </c:pt>
                <c:pt idx="126">
                  <c:v>35.935455734845178</c:v>
                </c:pt>
                <c:pt idx="127">
                  <c:v>33.134191176470587</c:v>
                </c:pt>
                <c:pt idx="128">
                  <c:v>35.535535535535537</c:v>
                </c:pt>
                <c:pt idx="129">
                  <c:v>41.009946442234124</c:v>
                </c:pt>
                <c:pt idx="130">
                  <c:v>70.199587061252586</c:v>
                </c:pt>
                <c:pt idx="131">
                  <c:v>31.644736842105264</c:v>
                </c:pt>
                <c:pt idx="132">
                  <c:v>33.720930232558139</c:v>
                </c:pt>
                <c:pt idx="133">
                  <c:v>33.635729239357993</c:v>
                </c:pt>
                <c:pt idx="134">
                  <c:v>28.324324324324323</c:v>
                </c:pt>
                <c:pt idx="135">
                  <c:v>41.544291804831836</c:v>
                </c:pt>
                <c:pt idx="136">
                  <c:v>54.589371980676326</c:v>
                </c:pt>
                <c:pt idx="137">
                  <c:v>50.391644908616186</c:v>
                </c:pt>
                <c:pt idx="138">
                  <c:v>35.37117903930131</c:v>
                </c:pt>
                <c:pt idx="139">
                  <c:v>32.978251220594764</c:v>
                </c:pt>
                <c:pt idx="140">
                  <c:v>69.944444444444443</c:v>
                </c:pt>
                <c:pt idx="141">
                  <c:v>31.868640148011099</c:v>
                </c:pt>
                <c:pt idx="142">
                  <c:v>39.067055393586003</c:v>
                </c:pt>
                <c:pt idx="143">
                  <c:v>35.988620199146517</c:v>
                </c:pt>
                <c:pt idx="144">
                  <c:v>29.496402877697843</c:v>
                </c:pt>
                <c:pt idx="145">
                  <c:v>36.228482003129891</c:v>
                </c:pt>
                <c:pt idx="146">
                  <c:v>32.619775739041792</c:v>
                </c:pt>
                <c:pt idx="147">
                  <c:v>32.914704343275773</c:v>
                </c:pt>
                <c:pt idx="148">
                  <c:v>36.454703832752614</c:v>
                </c:pt>
                <c:pt idx="149">
                  <c:v>38.655077767612077</c:v>
                </c:pt>
                <c:pt idx="150">
                  <c:v>26.343679031037095</c:v>
                </c:pt>
                <c:pt idx="151">
                  <c:v>27.943661971830984</c:v>
                </c:pt>
                <c:pt idx="152">
                  <c:v>30.517423442449843</c:v>
                </c:pt>
                <c:pt idx="153">
                  <c:v>24.29951690821256</c:v>
                </c:pt>
                <c:pt idx="154">
                  <c:v>25.819672131147541</c:v>
                </c:pt>
                <c:pt idx="155">
                  <c:v>21.834574676597413</c:v>
                </c:pt>
                <c:pt idx="156">
                  <c:v>30.424366872005475</c:v>
                </c:pt>
                <c:pt idx="157">
                  <c:v>53.324468085106382</c:v>
                </c:pt>
                <c:pt idx="158">
                  <c:v>50.189155107187894</c:v>
                </c:pt>
                <c:pt idx="159">
                  <c:v>31.138070479491624</c:v>
                </c:pt>
                <c:pt idx="160">
                  <c:v>44.290976058931861</c:v>
                </c:pt>
                <c:pt idx="161">
                  <c:v>25.94183740912095</c:v>
                </c:pt>
                <c:pt idx="162">
                  <c:v>21.28082736674622</c:v>
                </c:pt>
                <c:pt idx="163">
                  <c:v>25.129982668977469</c:v>
                </c:pt>
                <c:pt idx="164">
                  <c:v>25.090415913200722</c:v>
                </c:pt>
                <c:pt idx="165">
                  <c:v>25.754443985117817</c:v>
                </c:pt>
                <c:pt idx="166">
                  <c:v>23.076923076923077</c:v>
                </c:pt>
                <c:pt idx="167">
                  <c:v>21.449766850360323</c:v>
                </c:pt>
                <c:pt idx="168">
                  <c:v>24.780256930358352</c:v>
                </c:pt>
                <c:pt idx="169">
                  <c:v>17.890520694259013</c:v>
                </c:pt>
                <c:pt idx="170">
                  <c:v>21.104018024784079</c:v>
                </c:pt>
                <c:pt idx="171">
                  <c:v>40.642129992169146</c:v>
                </c:pt>
                <c:pt idx="172">
                  <c:v>33.180987202925046</c:v>
                </c:pt>
                <c:pt idx="173">
                  <c:v>30.762987012987011</c:v>
                </c:pt>
                <c:pt idx="174">
                  <c:v>35.679374389051809</c:v>
                </c:pt>
                <c:pt idx="175">
                  <c:v>37.286135693215343</c:v>
                </c:pt>
                <c:pt idx="176">
                  <c:v>47.942754919499109</c:v>
                </c:pt>
                <c:pt idx="177">
                  <c:v>62.786745964316054</c:v>
                </c:pt>
                <c:pt idx="178">
                  <c:v>31.561461794019934</c:v>
                </c:pt>
                <c:pt idx="179">
                  <c:v>40.958268933539415</c:v>
                </c:pt>
                <c:pt idx="180">
                  <c:v>42.378048780487802</c:v>
                </c:pt>
                <c:pt idx="181">
                  <c:v>23.970037453183522</c:v>
                </c:pt>
              </c:numCache>
            </c:numRef>
          </c:xVal>
          <c:yVal>
            <c:numRef>
              <c:f>'Мособлдума партии'!$U$2:$U$183</c:f>
              <c:numCache>
                <c:formatCode>0.0</c:formatCode>
                <c:ptCount val="182"/>
                <c:pt idx="0">
                  <c:v>1.1838006230529594</c:v>
                </c:pt>
                <c:pt idx="1">
                  <c:v>6.1715481171548117</c:v>
                </c:pt>
                <c:pt idx="2">
                  <c:v>6.8807339449541285</c:v>
                </c:pt>
                <c:pt idx="3">
                  <c:v>1.9896193771626298</c:v>
                </c:pt>
                <c:pt idx="4">
                  <c:v>10.434782608695652</c:v>
                </c:pt>
                <c:pt idx="5">
                  <c:v>10.52093973442288</c:v>
                </c:pt>
                <c:pt idx="6">
                  <c:v>12.222222222222221</c:v>
                </c:pt>
                <c:pt idx="7">
                  <c:v>4.1601255886970172</c:v>
                </c:pt>
                <c:pt idx="8">
                  <c:v>9.4557823129251695</c:v>
                </c:pt>
                <c:pt idx="9">
                  <c:v>20.381406436233611</c:v>
                </c:pt>
                <c:pt idx="10">
                  <c:v>1.9366197183098592</c:v>
                </c:pt>
                <c:pt idx="11">
                  <c:v>19.561815336463223</c:v>
                </c:pt>
                <c:pt idx="12">
                  <c:v>44.227353463587924</c:v>
                </c:pt>
                <c:pt idx="13">
                  <c:v>13.992762364294331</c:v>
                </c:pt>
                <c:pt idx="14">
                  <c:v>30.565371024734983</c:v>
                </c:pt>
                <c:pt idx="15">
                  <c:v>4.6232876712328768</c:v>
                </c:pt>
                <c:pt idx="16">
                  <c:v>28.07017543859649</c:v>
                </c:pt>
                <c:pt idx="17">
                  <c:v>1.5544041450777202</c:v>
                </c:pt>
                <c:pt idx="18">
                  <c:v>25.96153846153846</c:v>
                </c:pt>
                <c:pt idx="19">
                  <c:v>23.474663908996899</c:v>
                </c:pt>
                <c:pt idx="20">
                  <c:v>0.45558086560364464</c:v>
                </c:pt>
                <c:pt idx="21">
                  <c:v>2.1604938271604937</c:v>
                </c:pt>
                <c:pt idx="22">
                  <c:v>5.3412462908011866</c:v>
                </c:pt>
                <c:pt idx="23">
                  <c:v>4.2272126816380453</c:v>
                </c:pt>
                <c:pt idx="24">
                  <c:v>5.982905982905983</c:v>
                </c:pt>
                <c:pt idx="25">
                  <c:v>9.974747474747474</c:v>
                </c:pt>
                <c:pt idx="26">
                  <c:v>2.5081788440567068</c:v>
                </c:pt>
                <c:pt idx="27">
                  <c:v>1.2765957446808511</c:v>
                </c:pt>
                <c:pt idx="28">
                  <c:v>2.7932960893854748</c:v>
                </c:pt>
                <c:pt idx="29">
                  <c:v>2.138157894736842</c:v>
                </c:pt>
                <c:pt idx="30">
                  <c:v>7.9069767441860463</c:v>
                </c:pt>
                <c:pt idx="31">
                  <c:v>4.0601503759398501</c:v>
                </c:pt>
                <c:pt idx="32">
                  <c:v>32.586558044806516</c:v>
                </c:pt>
                <c:pt idx="33">
                  <c:v>23.952095808383234</c:v>
                </c:pt>
                <c:pt idx="34">
                  <c:v>37.301587301587304</c:v>
                </c:pt>
                <c:pt idx="35">
                  <c:v>42.774936061381077</c:v>
                </c:pt>
                <c:pt idx="36">
                  <c:v>19.001490312965721</c:v>
                </c:pt>
                <c:pt idx="37">
                  <c:v>27.209944751381215</c:v>
                </c:pt>
                <c:pt idx="38">
                  <c:v>11.940298507462687</c:v>
                </c:pt>
                <c:pt idx="39">
                  <c:v>26.534296028880867</c:v>
                </c:pt>
                <c:pt idx="40">
                  <c:v>26.839826839826841</c:v>
                </c:pt>
                <c:pt idx="41">
                  <c:v>4.294478527607362</c:v>
                </c:pt>
                <c:pt idx="42">
                  <c:v>2.229654403567447</c:v>
                </c:pt>
                <c:pt idx="43">
                  <c:v>1.6688061617458281</c:v>
                </c:pt>
                <c:pt idx="44">
                  <c:v>0</c:v>
                </c:pt>
                <c:pt idx="45">
                  <c:v>0</c:v>
                </c:pt>
                <c:pt idx="46">
                  <c:v>7.1684587813620073</c:v>
                </c:pt>
                <c:pt idx="47">
                  <c:v>0.81699346405228757</c:v>
                </c:pt>
                <c:pt idx="48">
                  <c:v>0.55632823365785811</c:v>
                </c:pt>
                <c:pt idx="49">
                  <c:v>0.25062656641604009</c:v>
                </c:pt>
                <c:pt idx="50">
                  <c:v>17.222963951935913</c:v>
                </c:pt>
                <c:pt idx="51">
                  <c:v>0.81699346405228757</c:v>
                </c:pt>
                <c:pt idx="52">
                  <c:v>0.71123755334281646</c:v>
                </c:pt>
                <c:pt idx="53">
                  <c:v>66.00496277915633</c:v>
                </c:pt>
                <c:pt idx="54">
                  <c:v>7.1428571428571432</c:v>
                </c:pt>
                <c:pt idx="55">
                  <c:v>1.0204081632653061</c:v>
                </c:pt>
                <c:pt idx="56">
                  <c:v>19.085173501577287</c:v>
                </c:pt>
                <c:pt idx="57">
                  <c:v>4.9515608180839612</c:v>
                </c:pt>
                <c:pt idx="58">
                  <c:v>12.026143790849673</c:v>
                </c:pt>
                <c:pt idx="59">
                  <c:v>18.597857838364167</c:v>
                </c:pt>
                <c:pt idx="60">
                  <c:v>0.99009900990099009</c:v>
                </c:pt>
                <c:pt idx="61">
                  <c:v>6.272617611580217</c:v>
                </c:pt>
                <c:pt idx="62">
                  <c:v>1.3358778625954197</c:v>
                </c:pt>
                <c:pt idx="63">
                  <c:v>19.277108433734941</c:v>
                </c:pt>
                <c:pt idx="64">
                  <c:v>5.7870370370370372</c:v>
                </c:pt>
                <c:pt idx="65">
                  <c:v>13.25468424705066</c:v>
                </c:pt>
                <c:pt idx="66">
                  <c:v>14.750542299349242</c:v>
                </c:pt>
                <c:pt idx="67">
                  <c:v>41.449275362318843</c:v>
                </c:pt>
                <c:pt idx="68">
                  <c:v>14.470284237726098</c:v>
                </c:pt>
                <c:pt idx="69">
                  <c:v>11.782477341389727</c:v>
                </c:pt>
                <c:pt idx="70">
                  <c:v>6.5060240963855422</c:v>
                </c:pt>
                <c:pt idx="71">
                  <c:v>4.1575492341356677</c:v>
                </c:pt>
                <c:pt idx="72">
                  <c:v>8.6805555555555554</c:v>
                </c:pt>
                <c:pt idx="73">
                  <c:v>8.4432717678100264</c:v>
                </c:pt>
                <c:pt idx="74">
                  <c:v>9.5890410958904102</c:v>
                </c:pt>
                <c:pt idx="75">
                  <c:v>4.7468354430379751</c:v>
                </c:pt>
                <c:pt idx="76">
                  <c:v>24.747937671860679</c:v>
                </c:pt>
                <c:pt idx="77">
                  <c:v>38.411669367909241</c:v>
                </c:pt>
                <c:pt idx="78">
                  <c:v>39.703903095558545</c:v>
                </c:pt>
                <c:pt idx="79">
                  <c:v>34.265734265734267</c:v>
                </c:pt>
                <c:pt idx="80">
                  <c:v>12.258064516129032</c:v>
                </c:pt>
                <c:pt idx="81">
                  <c:v>2.5337837837837838</c:v>
                </c:pt>
                <c:pt idx="82">
                  <c:v>9.0909090909090917</c:v>
                </c:pt>
                <c:pt idx="83">
                  <c:v>14.927048260381595</c:v>
                </c:pt>
                <c:pt idx="84">
                  <c:v>19.465081723625556</c:v>
                </c:pt>
                <c:pt idx="85">
                  <c:v>9.2424242424242422</c:v>
                </c:pt>
                <c:pt idx="86">
                  <c:v>16.961651917404129</c:v>
                </c:pt>
                <c:pt idx="87">
                  <c:v>8.4394904458598727</c:v>
                </c:pt>
                <c:pt idx="88">
                  <c:v>7.2868217054263562</c:v>
                </c:pt>
                <c:pt idx="89">
                  <c:v>23.928571428571427</c:v>
                </c:pt>
                <c:pt idx="90">
                  <c:v>19.114470842332615</c:v>
                </c:pt>
                <c:pt idx="91">
                  <c:v>26.322115384615383</c:v>
                </c:pt>
                <c:pt idx="92">
                  <c:v>39.06911142454161</c:v>
                </c:pt>
                <c:pt idx="93">
                  <c:v>5.0290135396518378</c:v>
                </c:pt>
                <c:pt idx="94">
                  <c:v>2.275960170697013</c:v>
                </c:pt>
                <c:pt idx="95">
                  <c:v>11.735537190082646</c:v>
                </c:pt>
                <c:pt idx="96">
                  <c:v>6.458333333333333</c:v>
                </c:pt>
                <c:pt idx="97">
                  <c:v>37.797356828193834</c:v>
                </c:pt>
                <c:pt idx="98">
                  <c:v>45.635910224438902</c:v>
                </c:pt>
                <c:pt idx="99">
                  <c:v>1.5815085158150852</c:v>
                </c:pt>
                <c:pt idx="100">
                  <c:v>2.1337126600284493</c:v>
                </c:pt>
                <c:pt idx="101">
                  <c:v>27.304347826086957</c:v>
                </c:pt>
                <c:pt idx="102">
                  <c:v>21.657250470809792</c:v>
                </c:pt>
                <c:pt idx="103">
                  <c:v>85.606060606060609</c:v>
                </c:pt>
                <c:pt idx="104">
                  <c:v>0</c:v>
                </c:pt>
                <c:pt idx="105">
                  <c:v>16.370558375634516</c:v>
                </c:pt>
                <c:pt idx="106">
                  <c:v>1.6129032258064515</c:v>
                </c:pt>
                <c:pt idx="107">
                  <c:v>5.8608058608058604</c:v>
                </c:pt>
                <c:pt idx="108">
                  <c:v>11.203319502074688</c:v>
                </c:pt>
                <c:pt idx="109">
                  <c:v>1.1111111111111112</c:v>
                </c:pt>
                <c:pt idx="110">
                  <c:v>4.6008119079837622</c:v>
                </c:pt>
                <c:pt idx="111">
                  <c:v>4.8117154811715483</c:v>
                </c:pt>
                <c:pt idx="112">
                  <c:v>3.3333333333333335</c:v>
                </c:pt>
                <c:pt idx="113">
                  <c:v>10.291595197255575</c:v>
                </c:pt>
                <c:pt idx="114">
                  <c:v>11.832946635730858</c:v>
                </c:pt>
                <c:pt idx="115">
                  <c:v>2.1794871794871793</c:v>
                </c:pt>
                <c:pt idx="116">
                  <c:v>1.3404825737265416</c:v>
                </c:pt>
                <c:pt idx="117">
                  <c:v>1.0115606936416186</c:v>
                </c:pt>
                <c:pt idx="118">
                  <c:v>0</c:v>
                </c:pt>
                <c:pt idx="119">
                  <c:v>12.67605633802817</c:v>
                </c:pt>
                <c:pt idx="120">
                  <c:v>2.1834061135371181</c:v>
                </c:pt>
                <c:pt idx="121">
                  <c:v>11.056105610561056</c:v>
                </c:pt>
                <c:pt idx="122">
                  <c:v>4.6546546546546548</c:v>
                </c:pt>
                <c:pt idx="123">
                  <c:v>1.2765957446808511</c:v>
                </c:pt>
                <c:pt idx="124">
                  <c:v>9.9621689785624206</c:v>
                </c:pt>
                <c:pt idx="125">
                  <c:v>10.616929698708752</c:v>
                </c:pt>
                <c:pt idx="126">
                  <c:v>4.0048543689320386</c:v>
                </c:pt>
                <c:pt idx="127">
                  <c:v>0.55478502080443826</c:v>
                </c:pt>
                <c:pt idx="128">
                  <c:v>0.56338028169014087</c:v>
                </c:pt>
                <c:pt idx="129">
                  <c:v>0.93283582089552242</c:v>
                </c:pt>
                <c:pt idx="130">
                  <c:v>0.970873786407767</c:v>
                </c:pt>
                <c:pt idx="131">
                  <c:v>0.20790020790020791</c:v>
                </c:pt>
                <c:pt idx="132">
                  <c:v>1.4198782961460445</c:v>
                </c:pt>
                <c:pt idx="133">
                  <c:v>1.8672199170124482</c:v>
                </c:pt>
                <c:pt idx="134">
                  <c:v>0</c:v>
                </c:pt>
                <c:pt idx="135">
                  <c:v>11.060433295324971</c:v>
                </c:pt>
                <c:pt idx="136">
                  <c:v>40</c:v>
                </c:pt>
                <c:pt idx="137">
                  <c:v>41.597510373443981</c:v>
                </c:pt>
                <c:pt idx="138">
                  <c:v>7.662337662337662</c:v>
                </c:pt>
                <c:pt idx="139">
                  <c:v>4.4414535666218038</c:v>
                </c:pt>
                <c:pt idx="140">
                  <c:v>12.629070691024623</c:v>
                </c:pt>
                <c:pt idx="141">
                  <c:v>0.8708272859216255</c:v>
                </c:pt>
                <c:pt idx="142">
                  <c:v>5.0441361916771754</c:v>
                </c:pt>
                <c:pt idx="143">
                  <c:v>6.005586592178771</c:v>
                </c:pt>
                <c:pt idx="144">
                  <c:v>0.81300813008130079</c:v>
                </c:pt>
                <c:pt idx="145">
                  <c:v>1.5118790496760259</c:v>
                </c:pt>
                <c:pt idx="146">
                  <c:v>2.5</c:v>
                </c:pt>
                <c:pt idx="147">
                  <c:v>6.2003179650238476</c:v>
                </c:pt>
                <c:pt idx="148">
                  <c:v>4.5563549160671464</c:v>
                </c:pt>
                <c:pt idx="149">
                  <c:v>13.862559241706162</c:v>
                </c:pt>
                <c:pt idx="150">
                  <c:v>3.1609195402298851</c:v>
                </c:pt>
                <c:pt idx="151">
                  <c:v>0</c:v>
                </c:pt>
                <c:pt idx="152">
                  <c:v>0.17301038062283736</c:v>
                </c:pt>
                <c:pt idx="153">
                  <c:v>1.1928429423459244</c:v>
                </c:pt>
                <c:pt idx="154">
                  <c:v>0.52910052910052907</c:v>
                </c:pt>
                <c:pt idx="155">
                  <c:v>0.71813285457809695</c:v>
                </c:pt>
                <c:pt idx="156">
                  <c:v>1.2373453318335208</c:v>
                </c:pt>
                <c:pt idx="157">
                  <c:v>45.363408521303256</c:v>
                </c:pt>
                <c:pt idx="158">
                  <c:v>7.7777777777777777</c:v>
                </c:pt>
                <c:pt idx="159">
                  <c:v>1.3157894736842106</c:v>
                </c:pt>
                <c:pt idx="160">
                  <c:v>54.261954261954259</c:v>
                </c:pt>
                <c:pt idx="161">
                  <c:v>0</c:v>
                </c:pt>
                <c:pt idx="162">
                  <c:v>0.18691588785046728</c:v>
                </c:pt>
                <c:pt idx="163">
                  <c:v>0.34542314335060448</c:v>
                </c:pt>
                <c:pt idx="164">
                  <c:v>0.54054054054054057</c:v>
                </c:pt>
                <c:pt idx="165">
                  <c:v>0.48154093097913325</c:v>
                </c:pt>
                <c:pt idx="166">
                  <c:v>0.20366598778004075</c:v>
                </c:pt>
                <c:pt idx="167">
                  <c:v>0.59642147117296218</c:v>
                </c:pt>
                <c:pt idx="168">
                  <c:v>2.4556616643929057</c:v>
                </c:pt>
                <c:pt idx="169">
                  <c:v>4.6875</c:v>
                </c:pt>
                <c:pt idx="170">
                  <c:v>6.4056939501779357</c:v>
                </c:pt>
                <c:pt idx="171">
                  <c:v>9.8265895953757223</c:v>
                </c:pt>
                <c:pt idx="172">
                  <c:v>25.619834710743802</c:v>
                </c:pt>
                <c:pt idx="173">
                  <c:v>1.3192612137203166</c:v>
                </c:pt>
                <c:pt idx="174">
                  <c:v>20.547945205479451</c:v>
                </c:pt>
                <c:pt idx="175">
                  <c:v>11.879432624113475</c:v>
                </c:pt>
                <c:pt idx="176">
                  <c:v>13.805970149253731</c:v>
                </c:pt>
                <c:pt idx="177">
                  <c:v>0.40595399188092018</c:v>
                </c:pt>
                <c:pt idx="178">
                  <c:v>43.508771929824562</c:v>
                </c:pt>
                <c:pt idx="179">
                  <c:v>1.8867924528301887</c:v>
                </c:pt>
                <c:pt idx="180">
                  <c:v>3.3093525179856114</c:v>
                </c:pt>
                <c:pt idx="181">
                  <c:v>8.203125</c:v>
                </c:pt>
              </c:numCache>
            </c:numRef>
          </c:yVal>
          <c:bubbleSize>
            <c:numRef>
              <c:f>'Мособлдума партии'!$J$2:$J$183</c:f>
              <c:numCache>
                <c:formatCode>General</c:formatCode>
                <c:ptCount val="182"/>
                <c:pt idx="0">
                  <c:v>2451</c:v>
                </c:pt>
                <c:pt idx="1">
                  <c:v>1792</c:v>
                </c:pt>
                <c:pt idx="2">
                  <c:v>1987</c:v>
                </c:pt>
                <c:pt idx="3">
                  <c:v>2122</c:v>
                </c:pt>
                <c:pt idx="4">
                  <c:v>1909</c:v>
                </c:pt>
                <c:pt idx="5">
                  <c:v>1948</c:v>
                </c:pt>
                <c:pt idx="6">
                  <c:v>1966</c:v>
                </c:pt>
                <c:pt idx="7">
                  <c:v>1755</c:v>
                </c:pt>
                <c:pt idx="8">
                  <c:v>2053</c:v>
                </c:pt>
                <c:pt idx="9">
                  <c:v>2353</c:v>
                </c:pt>
                <c:pt idx="10">
                  <c:v>2236</c:v>
                </c:pt>
                <c:pt idx="11">
                  <c:v>878</c:v>
                </c:pt>
                <c:pt idx="12">
                  <c:v>1109</c:v>
                </c:pt>
                <c:pt idx="13">
                  <c:v>2346</c:v>
                </c:pt>
                <c:pt idx="14">
                  <c:v>1222</c:v>
                </c:pt>
                <c:pt idx="15">
                  <c:v>1986</c:v>
                </c:pt>
                <c:pt idx="16">
                  <c:v>391</c:v>
                </c:pt>
                <c:pt idx="17">
                  <c:v>1248</c:v>
                </c:pt>
                <c:pt idx="18">
                  <c:v>1716</c:v>
                </c:pt>
                <c:pt idx="19">
                  <c:v>2695</c:v>
                </c:pt>
                <c:pt idx="20">
                  <c:v>1800</c:v>
                </c:pt>
                <c:pt idx="21">
                  <c:v>2108</c:v>
                </c:pt>
                <c:pt idx="22">
                  <c:v>2215</c:v>
                </c:pt>
                <c:pt idx="23">
                  <c:v>2112</c:v>
                </c:pt>
                <c:pt idx="24">
                  <c:v>2268</c:v>
                </c:pt>
                <c:pt idx="25">
                  <c:v>2112</c:v>
                </c:pt>
                <c:pt idx="26">
                  <c:v>2016</c:v>
                </c:pt>
                <c:pt idx="27">
                  <c:v>2330</c:v>
                </c:pt>
                <c:pt idx="28">
                  <c:v>1867</c:v>
                </c:pt>
                <c:pt idx="29">
                  <c:v>1777</c:v>
                </c:pt>
                <c:pt idx="30">
                  <c:v>1121</c:v>
                </c:pt>
                <c:pt idx="31">
                  <c:v>2249</c:v>
                </c:pt>
                <c:pt idx="32">
                  <c:v>1262</c:v>
                </c:pt>
                <c:pt idx="33">
                  <c:v>553</c:v>
                </c:pt>
                <c:pt idx="34">
                  <c:v>932</c:v>
                </c:pt>
                <c:pt idx="35">
                  <c:v>2579</c:v>
                </c:pt>
                <c:pt idx="36">
                  <c:v>1659</c:v>
                </c:pt>
                <c:pt idx="37">
                  <c:v>1947</c:v>
                </c:pt>
                <c:pt idx="38">
                  <c:v>857</c:v>
                </c:pt>
                <c:pt idx="39">
                  <c:v>1412</c:v>
                </c:pt>
                <c:pt idx="40">
                  <c:v>2047</c:v>
                </c:pt>
                <c:pt idx="41">
                  <c:v>536</c:v>
                </c:pt>
                <c:pt idx="42">
                  <c:v>2687</c:v>
                </c:pt>
                <c:pt idx="43">
                  <c:v>2348</c:v>
                </c:pt>
                <c:pt idx="44">
                  <c:v>2383</c:v>
                </c:pt>
                <c:pt idx="45">
                  <c:v>1001</c:v>
                </c:pt>
                <c:pt idx="46">
                  <c:v>439</c:v>
                </c:pt>
                <c:pt idx="47">
                  <c:v>1596</c:v>
                </c:pt>
                <c:pt idx="48">
                  <c:v>1548</c:v>
                </c:pt>
                <c:pt idx="49">
                  <c:v>2222</c:v>
                </c:pt>
                <c:pt idx="50">
                  <c:v>1888</c:v>
                </c:pt>
                <c:pt idx="51">
                  <c:v>1665</c:v>
                </c:pt>
                <c:pt idx="52">
                  <c:v>1691</c:v>
                </c:pt>
                <c:pt idx="53">
                  <c:v>517</c:v>
                </c:pt>
                <c:pt idx="54">
                  <c:v>1745</c:v>
                </c:pt>
                <c:pt idx="55">
                  <c:v>1453</c:v>
                </c:pt>
                <c:pt idx="56">
                  <c:v>1496</c:v>
                </c:pt>
                <c:pt idx="57">
                  <c:v>2669</c:v>
                </c:pt>
                <c:pt idx="58">
                  <c:v>2799</c:v>
                </c:pt>
                <c:pt idx="59">
                  <c:v>2544</c:v>
                </c:pt>
                <c:pt idx="60">
                  <c:v>1670</c:v>
                </c:pt>
                <c:pt idx="61">
                  <c:v>1891</c:v>
                </c:pt>
                <c:pt idx="62">
                  <c:v>1984</c:v>
                </c:pt>
                <c:pt idx="63">
                  <c:v>628</c:v>
                </c:pt>
                <c:pt idx="64">
                  <c:v>1469</c:v>
                </c:pt>
                <c:pt idx="65">
                  <c:v>2564</c:v>
                </c:pt>
                <c:pt idx="66">
                  <c:v>711</c:v>
                </c:pt>
                <c:pt idx="67">
                  <c:v>676</c:v>
                </c:pt>
                <c:pt idx="68">
                  <c:v>1747</c:v>
                </c:pt>
                <c:pt idx="69">
                  <c:v>1907</c:v>
                </c:pt>
                <c:pt idx="70">
                  <c:v>1194</c:v>
                </c:pt>
                <c:pt idx="71">
                  <c:v>1129</c:v>
                </c:pt>
                <c:pt idx="72">
                  <c:v>1498</c:v>
                </c:pt>
                <c:pt idx="73">
                  <c:v>1859</c:v>
                </c:pt>
                <c:pt idx="74">
                  <c:v>1315</c:v>
                </c:pt>
                <c:pt idx="75">
                  <c:v>1300</c:v>
                </c:pt>
                <c:pt idx="76">
                  <c:v>2038</c:v>
                </c:pt>
                <c:pt idx="77">
                  <c:v>1190</c:v>
                </c:pt>
                <c:pt idx="78">
                  <c:v>1521</c:v>
                </c:pt>
                <c:pt idx="79">
                  <c:v>710</c:v>
                </c:pt>
                <c:pt idx="80">
                  <c:v>1525</c:v>
                </c:pt>
                <c:pt idx="81">
                  <c:v>1495</c:v>
                </c:pt>
                <c:pt idx="82">
                  <c:v>1808</c:v>
                </c:pt>
                <c:pt idx="83">
                  <c:v>2012</c:v>
                </c:pt>
                <c:pt idx="84">
                  <c:v>1681</c:v>
                </c:pt>
                <c:pt idx="85">
                  <c:v>1685</c:v>
                </c:pt>
                <c:pt idx="86">
                  <c:v>1529</c:v>
                </c:pt>
                <c:pt idx="87">
                  <c:v>1800</c:v>
                </c:pt>
                <c:pt idx="88">
                  <c:v>1896</c:v>
                </c:pt>
                <c:pt idx="89">
                  <c:v>1963</c:v>
                </c:pt>
                <c:pt idx="90">
                  <c:v>1902</c:v>
                </c:pt>
                <c:pt idx="91">
                  <c:v>1647</c:v>
                </c:pt>
                <c:pt idx="92">
                  <c:v>1316</c:v>
                </c:pt>
                <c:pt idx="93">
                  <c:v>2424</c:v>
                </c:pt>
                <c:pt idx="94">
                  <c:v>2162</c:v>
                </c:pt>
                <c:pt idx="95">
                  <c:v>1230</c:v>
                </c:pt>
                <c:pt idx="96">
                  <c:v>901</c:v>
                </c:pt>
                <c:pt idx="97">
                  <c:v>2387</c:v>
                </c:pt>
                <c:pt idx="98">
                  <c:v>1535</c:v>
                </c:pt>
                <c:pt idx="99">
                  <c:v>2645</c:v>
                </c:pt>
                <c:pt idx="100">
                  <c:v>2043</c:v>
                </c:pt>
                <c:pt idx="101">
                  <c:v>1990</c:v>
                </c:pt>
                <c:pt idx="102">
                  <c:v>988</c:v>
                </c:pt>
                <c:pt idx="103">
                  <c:v>132</c:v>
                </c:pt>
                <c:pt idx="104">
                  <c:v>83</c:v>
                </c:pt>
                <c:pt idx="105">
                  <c:v>1763</c:v>
                </c:pt>
                <c:pt idx="106">
                  <c:v>1063</c:v>
                </c:pt>
                <c:pt idx="107">
                  <c:v>2316</c:v>
                </c:pt>
                <c:pt idx="108">
                  <c:v>1250</c:v>
                </c:pt>
                <c:pt idx="109">
                  <c:v>1265</c:v>
                </c:pt>
                <c:pt idx="110">
                  <c:v>1736</c:v>
                </c:pt>
                <c:pt idx="111">
                  <c:v>2586</c:v>
                </c:pt>
                <c:pt idx="112">
                  <c:v>1243</c:v>
                </c:pt>
                <c:pt idx="113">
                  <c:v>1451</c:v>
                </c:pt>
                <c:pt idx="114">
                  <c:v>1179</c:v>
                </c:pt>
                <c:pt idx="115">
                  <c:v>2285</c:v>
                </c:pt>
                <c:pt idx="116">
                  <c:v>1678</c:v>
                </c:pt>
                <c:pt idx="117">
                  <c:v>2025</c:v>
                </c:pt>
                <c:pt idx="118">
                  <c:v>0</c:v>
                </c:pt>
                <c:pt idx="119">
                  <c:v>2430</c:v>
                </c:pt>
                <c:pt idx="120">
                  <c:v>2209</c:v>
                </c:pt>
                <c:pt idx="121">
                  <c:v>2330</c:v>
                </c:pt>
                <c:pt idx="122">
                  <c:v>2013</c:v>
                </c:pt>
                <c:pt idx="123">
                  <c:v>2023</c:v>
                </c:pt>
                <c:pt idx="124">
                  <c:v>2032</c:v>
                </c:pt>
                <c:pt idx="125">
                  <c:v>1759</c:v>
                </c:pt>
                <c:pt idx="126">
                  <c:v>2293</c:v>
                </c:pt>
                <c:pt idx="127">
                  <c:v>2176</c:v>
                </c:pt>
                <c:pt idx="128">
                  <c:v>1998</c:v>
                </c:pt>
                <c:pt idx="129">
                  <c:v>1307</c:v>
                </c:pt>
                <c:pt idx="130">
                  <c:v>1453</c:v>
                </c:pt>
                <c:pt idx="131">
                  <c:v>1520</c:v>
                </c:pt>
                <c:pt idx="132">
                  <c:v>1462</c:v>
                </c:pt>
                <c:pt idx="133">
                  <c:v>1433</c:v>
                </c:pt>
                <c:pt idx="134">
                  <c:v>1850</c:v>
                </c:pt>
                <c:pt idx="135">
                  <c:v>2111</c:v>
                </c:pt>
                <c:pt idx="136">
                  <c:v>1035</c:v>
                </c:pt>
                <c:pt idx="137">
                  <c:v>1915</c:v>
                </c:pt>
                <c:pt idx="138">
                  <c:v>2290</c:v>
                </c:pt>
                <c:pt idx="139">
                  <c:v>2253</c:v>
                </c:pt>
                <c:pt idx="140">
                  <c:v>1800</c:v>
                </c:pt>
                <c:pt idx="141">
                  <c:v>2162</c:v>
                </c:pt>
                <c:pt idx="142">
                  <c:v>2058</c:v>
                </c:pt>
                <c:pt idx="143">
                  <c:v>2109</c:v>
                </c:pt>
                <c:pt idx="144">
                  <c:v>1251</c:v>
                </c:pt>
                <c:pt idx="145">
                  <c:v>1278</c:v>
                </c:pt>
                <c:pt idx="146">
                  <c:v>981</c:v>
                </c:pt>
                <c:pt idx="147">
                  <c:v>1911</c:v>
                </c:pt>
                <c:pt idx="148">
                  <c:v>2296</c:v>
                </c:pt>
                <c:pt idx="149">
                  <c:v>2186</c:v>
                </c:pt>
                <c:pt idx="150">
                  <c:v>2642</c:v>
                </c:pt>
                <c:pt idx="151">
                  <c:v>1775</c:v>
                </c:pt>
                <c:pt idx="152">
                  <c:v>1894</c:v>
                </c:pt>
                <c:pt idx="153">
                  <c:v>2070</c:v>
                </c:pt>
                <c:pt idx="154">
                  <c:v>2196</c:v>
                </c:pt>
                <c:pt idx="155">
                  <c:v>2551</c:v>
                </c:pt>
                <c:pt idx="156">
                  <c:v>2922</c:v>
                </c:pt>
                <c:pt idx="157">
                  <c:v>752</c:v>
                </c:pt>
                <c:pt idx="158">
                  <c:v>793</c:v>
                </c:pt>
                <c:pt idx="159">
                  <c:v>1731</c:v>
                </c:pt>
                <c:pt idx="160">
                  <c:v>1086</c:v>
                </c:pt>
                <c:pt idx="161">
                  <c:v>3026</c:v>
                </c:pt>
                <c:pt idx="162">
                  <c:v>2514</c:v>
                </c:pt>
                <c:pt idx="163">
                  <c:v>2308</c:v>
                </c:pt>
                <c:pt idx="164">
                  <c:v>2212</c:v>
                </c:pt>
                <c:pt idx="165">
                  <c:v>2419</c:v>
                </c:pt>
                <c:pt idx="166">
                  <c:v>2132</c:v>
                </c:pt>
                <c:pt idx="167">
                  <c:v>2359</c:v>
                </c:pt>
                <c:pt idx="168">
                  <c:v>2958</c:v>
                </c:pt>
                <c:pt idx="169">
                  <c:v>749</c:v>
                </c:pt>
                <c:pt idx="170">
                  <c:v>2663</c:v>
                </c:pt>
                <c:pt idx="171">
                  <c:v>1277</c:v>
                </c:pt>
                <c:pt idx="172">
                  <c:v>1094</c:v>
                </c:pt>
                <c:pt idx="173">
                  <c:v>1232</c:v>
                </c:pt>
                <c:pt idx="174">
                  <c:v>1023</c:v>
                </c:pt>
                <c:pt idx="175">
                  <c:v>1695</c:v>
                </c:pt>
                <c:pt idx="176">
                  <c:v>1677</c:v>
                </c:pt>
                <c:pt idx="177">
                  <c:v>2354</c:v>
                </c:pt>
                <c:pt idx="178">
                  <c:v>1806</c:v>
                </c:pt>
                <c:pt idx="179">
                  <c:v>1294</c:v>
                </c:pt>
                <c:pt idx="180">
                  <c:v>1640</c:v>
                </c:pt>
                <c:pt idx="181">
                  <c:v>1068</c:v>
                </c:pt>
              </c:numCache>
            </c:numRef>
          </c:bubbleSize>
          <c:bubble3D val="0"/>
          <c:extLst>
            <c:ext xmlns:c16="http://schemas.microsoft.com/office/drawing/2014/chart" uri="{C3380CC4-5D6E-409C-BE32-E72D297353CC}">
              <c16:uniqueId val="{00000001-8619-4067-AE05-ED606DF4614F}"/>
            </c:ext>
          </c:extLst>
        </c:ser>
        <c:ser>
          <c:idx val="2"/>
          <c:order val="12"/>
          <c:tx>
            <c:strRef>
              <c:f>'Мособлдума партии'!$AA$202</c:f>
              <c:strCache>
                <c:ptCount val="1"/>
                <c:pt idx="0">
                  <c:v>Вручную задано: ЕР без фальс. (%)</c:v>
                </c:pt>
              </c:strCache>
            </c:strRef>
          </c:tx>
          <c:spPr>
            <a:ln w="25400">
              <a:noFill/>
            </a:ln>
          </c:spPr>
          <c:invertIfNegative val="0"/>
          <c:errBars>
            <c:errDir val="x"/>
            <c:errBarType val="minus"/>
            <c:errValType val="percentage"/>
            <c:noEndCap val="1"/>
            <c:val val="100"/>
            <c:spPr>
              <a:ln>
                <a:solidFill>
                  <a:srgbClr val="0000FF">
                    <a:alpha val="50000"/>
                  </a:srgbClr>
                </a:solidFill>
              </a:ln>
            </c:spPr>
          </c:errBars>
          <c:xVal>
            <c:numLit>
              <c:formatCode>General</c:formatCode>
              <c:ptCount val="1"/>
              <c:pt idx="0">
                <c:v>100</c:v>
              </c:pt>
            </c:numLit>
          </c:xVal>
          <c:yVal>
            <c:numRef>
              <c:f>'Мособлдума партии'!$AA$203</c:f>
              <c:numCache>
                <c:formatCode>0.0</c:formatCode>
                <c:ptCount val="1"/>
                <c:pt idx="0">
                  <c:v>25.4</c:v>
                </c:pt>
              </c:numCache>
            </c:numRef>
          </c:yVal>
          <c:bubbleSize>
            <c:numLit>
              <c:formatCode>General</c:formatCode>
              <c:ptCount val="10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numLit>
          </c:bubbleSize>
          <c:bubble3D val="0"/>
          <c:extLst>
            <c:ext xmlns:c16="http://schemas.microsoft.com/office/drawing/2014/chart" uri="{C3380CC4-5D6E-409C-BE32-E72D297353CC}">
              <c16:uniqueId val="{00000000-EDB8-40E9-AB88-1CE990C35062}"/>
            </c:ext>
          </c:extLst>
        </c:ser>
        <c:ser>
          <c:idx val="3"/>
          <c:order val="13"/>
          <c:tx>
            <c:strRef>
              <c:f>'Мособлдума партии'!$AA$221</c:f>
              <c:strCache>
                <c:ptCount val="1"/>
                <c:pt idx="0">
                  <c:v>Макс. размер кружка</c:v>
                </c:pt>
              </c:strCache>
            </c:strRef>
          </c:tx>
          <c:spPr>
            <a:solidFill>
              <a:srgbClr val="000000">
                <a:alpha val="50000"/>
              </a:srgbClr>
            </a:solidFill>
            <a:ln w="25400">
              <a:noFill/>
            </a:ln>
          </c:spPr>
          <c:invertIfNegative val="0"/>
          <c:xVal>
            <c:numLit>
              <c:formatCode>General</c:formatCode>
              <c:ptCount val="1"/>
              <c:pt idx="0">
                <c:v>-10</c:v>
              </c:pt>
            </c:numLit>
          </c:xVal>
          <c:yVal>
            <c:numLit>
              <c:formatCode>General</c:formatCode>
              <c:ptCount val="1"/>
              <c:pt idx="0">
                <c:v>-10</c:v>
              </c:pt>
            </c:numLit>
          </c:yVal>
          <c:bubbleSize>
            <c:numRef>
              <c:f>'Мособлдума партии'!$AA$222</c:f>
              <c:numCache>
                <c:formatCode>General</c:formatCode>
                <c:ptCount val="1"/>
                <c:pt idx="0">
                  <c:v>6052</c:v>
                </c:pt>
              </c:numCache>
            </c:numRef>
          </c:bubbleSize>
          <c:bubble3D val="0"/>
          <c:extLst>
            <c:ext xmlns:c16="http://schemas.microsoft.com/office/drawing/2014/chart" uri="{C3380CC4-5D6E-409C-BE32-E72D297353CC}">
              <c16:uniqueId val="{00000000-86EA-4981-BE9B-A11AAAF18397}"/>
            </c:ext>
          </c:extLst>
        </c:ser>
        <c:dLbls>
          <c:showLegendKey val="0"/>
          <c:showVal val="0"/>
          <c:showCatName val="0"/>
          <c:showSerName val="0"/>
          <c:showPercent val="0"/>
          <c:showBubbleSize val="0"/>
        </c:dLbls>
        <c:bubbleScale val="10"/>
        <c:showNegBubbles val="0"/>
        <c:axId val="1404683680"/>
        <c:axId val="1467487472"/>
      </c:bubbleChart>
      <c:valAx>
        <c:axId val="1404683680"/>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ru-RU"/>
                  <a:t>Явка (%)</a:t>
                </a:r>
                <a:endParaRPr lang="en-US"/>
              </a:p>
            </c:rich>
          </c:tx>
          <c:layout>
            <c:manualLayout>
              <c:xMode val="edge"/>
              <c:yMode val="edge"/>
              <c:x val="0.5239235860409146"/>
              <c:y val="0.97176842105263161"/>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7487472"/>
        <c:crossesAt val="0"/>
        <c:crossBetween val="midCat"/>
      </c:valAx>
      <c:valAx>
        <c:axId val="1467487472"/>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ru-RU"/>
                  <a:t>% за</a:t>
                </a:r>
                <a:endParaRPr lang="en-US"/>
              </a:p>
            </c:rich>
          </c:tx>
          <c:layout>
            <c:manualLayout>
              <c:xMode val="edge"/>
              <c:yMode val="edge"/>
              <c:x val="0"/>
              <c:y val="0.43011476608187127"/>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683680"/>
        <c:crosses val="autoZero"/>
        <c:crossBetween val="midCat"/>
        <c:majorUnit val="10"/>
      </c:valAx>
    </c:plotArea>
    <c:legend>
      <c:legendPos val="b"/>
      <c:layout>
        <c:manualLayout>
          <c:xMode val="edge"/>
          <c:yMode val="edge"/>
          <c:x val="4.0962996389891697E-2"/>
          <c:y val="0.11734371345029242"/>
          <c:w val="0.16644885679903731"/>
          <c:h val="0.3959422514619883"/>
        </c:manualLayout>
      </c:layout>
      <c:overlay val="0"/>
      <c:spPr>
        <a:solidFill>
          <a:srgbClr val="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30233500629379E-2"/>
          <c:y val="2.9282931336713936E-2"/>
          <c:w val="0.95261901191169107"/>
          <c:h val="0.92797105263157886"/>
        </c:manualLayout>
      </c:layout>
      <c:bubbleChart>
        <c:varyColors val="0"/>
        <c:ser>
          <c:idx val="8"/>
          <c:order val="0"/>
          <c:tx>
            <c:strRef>
              <c:f>'Дума одномандатный'!$AB$1</c:f>
              <c:strCache>
                <c:ptCount val="1"/>
                <c:pt idx="0">
                  <c:v>Дуленков (Яблоко)</c:v>
                </c:pt>
              </c:strCache>
            </c:strRef>
          </c:tx>
          <c:spPr>
            <a:solidFill>
              <a:srgbClr val="FF00FF">
                <a:alpha val="50196"/>
              </a:srgbClr>
            </a:solidFill>
            <a:ln w="25400">
              <a:noFill/>
            </a:ln>
          </c:spPr>
          <c:invertIfNegative val="0"/>
          <c:xVal>
            <c:numRef>
              <c:f>'Дума одномандатный'!$O$2:$O$183</c:f>
              <c:numCache>
                <c:formatCode>0.0</c:formatCode>
                <c:ptCount val="182"/>
                <c:pt idx="0">
                  <c:v>63.484292125662996</c:v>
                </c:pt>
                <c:pt idx="1">
                  <c:v>54.187745924676783</c:v>
                </c:pt>
                <c:pt idx="2">
                  <c:v>55.818743563336767</c:v>
                </c:pt>
                <c:pt idx="3">
                  <c:v>56</c:v>
                </c:pt>
                <c:pt idx="4">
                  <c:v>49.812130971551262</c:v>
                </c:pt>
                <c:pt idx="5">
                  <c:v>51.432958034800407</c:v>
                </c:pt>
                <c:pt idx="6">
                  <c:v>56.158134820070956</c:v>
                </c:pt>
                <c:pt idx="7">
                  <c:v>71.452328159645234</c:v>
                </c:pt>
                <c:pt idx="8">
                  <c:v>73.707753479125245</c:v>
                </c:pt>
                <c:pt idx="9">
                  <c:v>37.016574585635361</c:v>
                </c:pt>
                <c:pt idx="10">
                  <c:v>25.407309555262</c:v>
                </c:pt>
                <c:pt idx="11">
                  <c:v>72.562358276643991</c:v>
                </c:pt>
                <c:pt idx="12">
                  <c:v>52.684258416742495</c:v>
                </c:pt>
                <c:pt idx="13">
                  <c:v>35.041666666666664</c:v>
                </c:pt>
                <c:pt idx="14">
                  <c:v>48.151191454396056</c:v>
                </c:pt>
                <c:pt idx="15">
                  <c:v>29.507364144235652</c:v>
                </c:pt>
                <c:pt idx="16">
                  <c:v>44.562334217506631</c:v>
                </c:pt>
                <c:pt idx="17">
                  <c:v>32.345876701361092</c:v>
                </c:pt>
                <c:pt idx="18">
                  <c:v>48.951048951048953</c:v>
                </c:pt>
                <c:pt idx="19">
                  <c:v>36.920222634508349</c:v>
                </c:pt>
                <c:pt idx="20">
                  <c:v>26.006528835690968</c:v>
                </c:pt>
                <c:pt idx="21">
                  <c:v>47.85954785954786</c:v>
                </c:pt>
                <c:pt idx="22">
                  <c:v>33.137697516930025</c:v>
                </c:pt>
                <c:pt idx="23">
                  <c:v>37.266187050359711</c:v>
                </c:pt>
                <c:pt idx="24">
                  <c:v>31.379462318201853</c:v>
                </c:pt>
                <c:pt idx="25">
                  <c:v>38.636363636363633</c:v>
                </c:pt>
                <c:pt idx="26">
                  <c:v>47.569444444444443</c:v>
                </c:pt>
                <c:pt idx="27">
                  <c:v>43.30472103004292</c:v>
                </c:pt>
                <c:pt idx="28">
                  <c:v>48.960216998191683</c:v>
                </c:pt>
                <c:pt idx="29">
                  <c:v>34.414106939704212</c:v>
                </c:pt>
                <c:pt idx="30">
                  <c:v>41.391614629794823</c:v>
                </c:pt>
                <c:pt idx="31">
                  <c:v>30.035971223021583</c:v>
                </c:pt>
                <c:pt idx="32">
                  <c:v>37.808641975308639</c:v>
                </c:pt>
                <c:pt idx="33">
                  <c:v>95.27145359019265</c:v>
                </c:pt>
                <c:pt idx="34">
                  <c:v>43.419689119170982</c:v>
                </c:pt>
                <c:pt idx="35">
                  <c:v>59.961904761904762</c:v>
                </c:pt>
                <c:pt idx="36">
                  <c:v>80.892103676913806</c:v>
                </c:pt>
                <c:pt idx="37">
                  <c:v>37.891440501043839</c:v>
                </c:pt>
                <c:pt idx="38">
                  <c:v>40.490081680280049</c:v>
                </c:pt>
                <c:pt idx="39">
                  <c:v>40.014164305949009</c:v>
                </c:pt>
                <c:pt idx="40">
                  <c:v>35.019646365422396</c:v>
                </c:pt>
                <c:pt idx="41">
                  <c:v>30.76923076923077</c:v>
                </c:pt>
                <c:pt idx="42">
                  <c:v>34.175334323922733</c:v>
                </c:pt>
                <c:pt idx="43">
                  <c:v>34.108527131782942</c:v>
                </c:pt>
                <c:pt idx="44">
                  <c:v>66.542133665421332</c:v>
                </c:pt>
                <c:pt idx="45">
                  <c:v>77.573904179408771</c:v>
                </c:pt>
                <c:pt idx="46">
                  <c:v>64.759725400457668</c:v>
                </c:pt>
                <c:pt idx="47">
                  <c:v>40.934579439252339</c:v>
                </c:pt>
                <c:pt idx="48">
                  <c:v>46.253229974160206</c:v>
                </c:pt>
                <c:pt idx="49">
                  <c:v>54.984354045596781</c:v>
                </c:pt>
                <c:pt idx="50">
                  <c:v>40.935672514619881</c:v>
                </c:pt>
                <c:pt idx="51">
                  <c:v>37.672465506898618</c:v>
                </c:pt>
                <c:pt idx="52">
                  <c:v>42.771804062126641</c:v>
                </c:pt>
                <c:pt idx="53">
                  <c:v>78.285714285714292</c:v>
                </c:pt>
                <c:pt idx="54">
                  <c:v>33.782267115600447</c:v>
                </c:pt>
                <c:pt idx="55">
                  <c:v>33.562113932738505</c:v>
                </c:pt>
                <c:pt idx="56">
                  <c:v>43.99198931909212</c:v>
                </c:pt>
                <c:pt idx="57">
                  <c:v>35.322822822822822</c:v>
                </c:pt>
                <c:pt idx="58">
                  <c:v>28.550983899821109</c:v>
                </c:pt>
                <c:pt idx="59">
                  <c:v>40.453323088743758</c:v>
                </c:pt>
                <c:pt idx="60">
                  <c:v>38.582677165354333</c:v>
                </c:pt>
                <c:pt idx="61">
                  <c:v>44.122298365840798</c:v>
                </c:pt>
                <c:pt idx="62">
                  <c:v>26.386138613861387</c:v>
                </c:pt>
                <c:pt idx="63">
                  <c:v>26.959247648902821</c:v>
                </c:pt>
                <c:pt idx="64">
                  <c:v>29.1156462585034</c:v>
                </c:pt>
                <c:pt idx="65">
                  <c:v>57.634902411021812</c:v>
                </c:pt>
                <c:pt idx="66">
                  <c:v>64.978902953586498</c:v>
                </c:pt>
                <c:pt idx="67">
                  <c:v>51.035502958579883</c:v>
                </c:pt>
                <c:pt idx="68">
                  <c:v>46.972972972972975</c:v>
                </c:pt>
                <c:pt idx="69">
                  <c:v>52.648138437336129</c:v>
                </c:pt>
                <c:pt idx="70">
                  <c:v>36.752827140549272</c:v>
                </c:pt>
                <c:pt idx="71">
                  <c:v>41.978609625668447</c:v>
                </c:pt>
                <c:pt idx="72">
                  <c:v>40.397350993377486</c:v>
                </c:pt>
                <c:pt idx="73">
                  <c:v>22.40990990990991</c:v>
                </c:pt>
                <c:pt idx="74">
                  <c:v>34.809160305343511</c:v>
                </c:pt>
                <c:pt idx="75">
                  <c:v>51.278195488721806</c:v>
                </c:pt>
                <c:pt idx="76">
                  <c:v>54.563297350343476</c:v>
                </c:pt>
                <c:pt idx="77">
                  <c:v>60.084033613445378</c:v>
                </c:pt>
                <c:pt idx="78">
                  <c:v>50.821827744904667</c:v>
                </c:pt>
                <c:pt idx="79">
                  <c:v>40.422535211267608</c:v>
                </c:pt>
                <c:pt idx="80">
                  <c:v>51.540983606557376</c:v>
                </c:pt>
                <c:pt idx="81">
                  <c:v>40.625</c:v>
                </c:pt>
                <c:pt idx="82">
                  <c:v>47.904811174340402</c:v>
                </c:pt>
                <c:pt idx="83">
                  <c:v>43.352883675464319</c:v>
                </c:pt>
                <c:pt idx="84">
                  <c:v>40.621336459554513</c:v>
                </c:pt>
                <c:pt idx="85">
                  <c:v>39.648093841642229</c:v>
                </c:pt>
                <c:pt idx="86">
                  <c:v>44.669718770438195</c:v>
                </c:pt>
                <c:pt idx="87">
                  <c:v>35.388888888888886</c:v>
                </c:pt>
                <c:pt idx="88">
                  <c:v>35.514018691588788</c:v>
                </c:pt>
                <c:pt idx="89">
                  <c:v>44.083291010665313</c:v>
                </c:pt>
                <c:pt idx="90">
                  <c:v>49.188906331763476</c:v>
                </c:pt>
                <c:pt idx="91">
                  <c:v>51.062537947783852</c:v>
                </c:pt>
                <c:pt idx="92">
                  <c:v>54.863221884498479</c:v>
                </c:pt>
                <c:pt idx="93">
                  <c:v>63.973344439816742</c:v>
                </c:pt>
                <c:pt idx="94">
                  <c:v>66.090611863615138</c:v>
                </c:pt>
                <c:pt idx="95">
                  <c:v>64.959349593495929</c:v>
                </c:pt>
                <c:pt idx="96">
                  <c:v>53.224043715846996</c:v>
                </c:pt>
                <c:pt idx="97">
                  <c:v>47.465437788018434</c:v>
                </c:pt>
                <c:pt idx="98">
                  <c:v>52.964169381107489</c:v>
                </c:pt>
                <c:pt idx="99">
                  <c:v>31.266540642722116</c:v>
                </c:pt>
                <c:pt idx="100">
                  <c:v>36.172295643661279</c:v>
                </c:pt>
                <c:pt idx="101">
                  <c:v>55.275443510737631</c:v>
                </c:pt>
                <c:pt idx="102">
                  <c:v>56.983805668016196</c:v>
                </c:pt>
                <c:pt idx="103">
                  <c:v>100</c:v>
                </c:pt>
                <c:pt idx="104">
                  <c:v>90.865384615384613</c:v>
                </c:pt>
                <c:pt idx="105">
                  <c:v>45.037292025243829</c:v>
                </c:pt>
                <c:pt idx="106">
                  <c:v>34.424778761061944</c:v>
                </c:pt>
                <c:pt idx="107">
                  <c:v>36.03448275862069</c:v>
                </c:pt>
                <c:pt idx="108">
                  <c:v>40.813135261923378</c:v>
                </c:pt>
                <c:pt idx="109">
                  <c:v>37.786561264822133</c:v>
                </c:pt>
                <c:pt idx="110">
                  <c:v>42.10526315789474</c:v>
                </c:pt>
                <c:pt idx="111">
                  <c:v>39.198131568703779</c:v>
                </c:pt>
                <c:pt idx="112">
                  <c:v>39.279869067103107</c:v>
                </c:pt>
                <c:pt idx="113">
                  <c:v>42.108890420399725</c:v>
                </c:pt>
                <c:pt idx="114">
                  <c:v>38.65336658354115</c:v>
                </c:pt>
                <c:pt idx="115">
                  <c:v>35.413899955732624</c:v>
                </c:pt>
                <c:pt idx="116">
                  <c:v>44.002151694459386</c:v>
                </c:pt>
                <c:pt idx="117">
                  <c:v>36.372360844529751</c:v>
                </c:pt>
                <c:pt idx="118">
                  <c:v>0</c:v>
                </c:pt>
                <c:pt idx="119">
                  <c:v>41.481481481481481</c:v>
                </c:pt>
                <c:pt idx="120">
                  <c:v>32.568600989653618</c:v>
                </c:pt>
                <c:pt idx="121">
                  <c:v>51.320918146383718</c:v>
                </c:pt>
                <c:pt idx="122">
                  <c:v>33.550325488232346</c:v>
                </c:pt>
                <c:pt idx="123">
                  <c:v>35.837864557587743</c:v>
                </c:pt>
                <c:pt idx="124">
                  <c:v>43.155339805825243</c:v>
                </c:pt>
                <c:pt idx="125">
                  <c:v>40.560640732265448</c:v>
                </c:pt>
                <c:pt idx="126">
                  <c:v>36.066288704753596</c:v>
                </c:pt>
                <c:pt idx="127">
                  <c:v>33.364140480591495</c:v>
                </c:pt>
                <c:pt idx="128">
                  <c:v>35.832913940613992</c:v>
                </c:pt>
                <c:pt idx="129">
                  <c:v>41.194486983154668</c:v>
                </c:pt>
                <c:pt idx="130">
                  <c:v>70.199587061252586</c:v>
                </c:pt>
                <c:pt idx="131">
                  <c:v>31.971465629053178</c:v>
                </c:pt>
                <c:pt idx="132">
                  <c:v>34.171195652173914</c:v>
                </c:pt>
                <c:pt idx="133">
                  <c:v>33.630748112560056</c:v>
                </c:pt>
                <c:pt idx="134">
                  <c:v>28.648648648648649</c:v>
                </c:pt>
                <c:pt idx="135">
                  <c:v>41.429924242424242</c:v>
                </c:pt>
                <c:pt idx="136">
                  <c:v>55.265700483091784</c:v>
                </c:pt>
                <c:pt idx="137">
                  <c:v>50.684210526315788</c:v>
                </c:pt>
                <c:pt idx="138">
                  <c:v>36.419213973799124</c:v>
                </c:pt>
                <c:pt idx="139">
                  <c:v>34.091943559399184</c:v>
                </c:pt>
                <c:pt idx="140">
                  <c:v>69.944444444444443</c:v>
                </c:pt>
                <c:pt idx="141">
                  <c:v>31.717451523545705</c:v>
                </c:pt>
                <c:pt idx="142">
                  <c:v>40.26290165530672</c:v>
                </c:pt>
                <c:pt idx="143">
                  <c:v>36.320531057373159</c:v>
                </c:pt>
                <c:pt idx="144">
                  <c:v>30.732484076433121</c:v>
                </c:pt>
                <c:pt idx="145">
                  <c:v>36.871069182389938</c:v>
                </c:pt>
                <c:pt idx="146">
                  <c:v>35.288367546432063</c:v>
                </c:pt>
                <c:pt idx="147">
                  <c:v>34.275248560962844</c:v>
                </c:pt>
                <c:pt idx="148">
                  <c:v>38.125802310654684</c:v>
                </c:pt>
                <c:pt idx="149">
                  <c:v>40.316742081447963</c:v>
                </c:pt>
                <c:pt idx="150">
                  <c:v>28.046934140802421</c:v>
                </c:pt>
                <c:pt idx="151">
                  <c:v>28.618602091359385</c:v>
                </c:pt>
                <c:pt idx="152">
                  <c:v>32.336255801959773</c:v>
                </c:pt>
                <c:pt idx="153">
                  <c:v>24.444444444444443</c:v>
                </c:pt>
                <c:pt idx="154">
                  <c:v>28.752735229759299</c:v>
                </c:pt>
                <c:pt idx="155">
                  <c:v>26.303410427283417</c:v>
                </c:pt>
                <c:pt idx="156">
                  <c:v>32.887700534759361</c:v>
                </c:pt>
                <c:pt idx="157">
                  <c:v>53.324468085106382</c:v>
                </c:pt>
                <c:pt idx="158">
                  <c:v>50.189155107187894</c:v>
                </c:pt>
                <c:pt idx="159">
                  <c:v>32.23570190641248</c:v>
                </c:pt>
                <c:pt idx="160">
                  <c:v>44.567219152854513</c:v>
                </c:pt>
                <c:pt idx="161">
                  <c:v>26.778385772913818</c:v>
                </c:pt>
                <c:pt idx="162">
                  <c:v>26.083707025411062</c:v>
                </c:pt>
                <c:pt idx="163">
                  <c:v>26.590330788804071</c:v>
                </c:pt>
                <c:pt idx="164">
                  <c:v>29.204339963833636</c:v>
                </c:pt>
                <c:pt idx="165">
                  <c:v>26.91194708557255</c:v>
                </c:pt>
                <c:pt idx="166">
                  <c:v>22.96983758700696</c:v>
                </c:pt>
                <c:pt idx="167">
                  <c:v>24.077999152183128</c:v>
                </c:pt>
                <c:pt idx="168">
                  <c:v>24.746450304259636</c:v>
                </c:pt>
                <c:pt idx="169">
                  <c:v>16.688918558077436</c:v>
                </c:pt>
                <c:pt idx="170">
                  <c:v>20.803604956815622</c:v>
                </c:pt>
                <c:pt idx="171">
                  <c:v>42.521534847298355</c:v>
                </c:pt>
                <c:pt idx="172">
                  <c:v>34.256694367497694</c:v>
                </c:pt>
                <c:pt idx="173">
                  <c:v>31.412337662337663</c:v>
                </c:pt>
                <c:pt idx="174">
                  <c:v>37.596899224806201</c:v>
                </c:pt>
                <c:pt idx="175">
                  <c:v>37.201166180758015</c:v>
                </c:pt>
                <c:pt idx="176">
                  <c:v>49.561146869514339</c:v>
                </c:pt>
                <c:pt idx="177">
                  <c:v>62.228594838181074</c:v>
                </c:pt>
                <c:pt idx="178">
                  <c:v>31.506090808416388</c:v>
                </c:pt>
                <c:pt idx="179">
                  <c:v>42.149390243902438</c:v>
                </c:pt>
                <c:pt idx="180">
                  <c:v>42.400482509047045</c:v>
                </c:pt>
                <c:pt idx="181">
                  <c:v>26.266416510318951</c:v>
                </c:pt>
              </c:numCache>
            </c:numRef>
          </c:xVal>
          <c:yVal>
            <c:numRef>
              <c:f>'Дума одномандатный'!$AB$2:$AB$183</c:f>
              <c:numCache>
                <c:formatCode>0.0</c:formatCode>
                <c:ptCount val="182"/>
                <c:pt idx="0">
                  <c:v>1.9280205655526992</c:v>
                </c:pt>
                <c:pt idx="1">
                  <c:v>1.6649323621227887</c:v>
                </c:pt>
                <c:pt idx="2">
                  <c:v>1.3863216266173752</c:v>
                </c:pt>
                <c:pt idx="3">
                  <c:v>1.9624573378839592</c:v>
                </c:pt>
                <c:pt idx="4">
                  <c:v>2.9189189189189189</c:v>
                </c:pt>
                <c:pt idx="5">
                  <c:v>1.8072289156626506</c:v>
                </c:pt>
                <c:pt idx="6">
                  <c:v>3.1588447653429603</c:v>
                </c:pt>
                <c:pt idx="7">
                  <c:v>1.7200938232994527</c:v>
                </c:pt>
                <c:pt idx="8">
                  <c:v>1.4834794335805799</c:v>
                </c:pt>
                <c:pt idx="9">
                  <c:v>3.0023094688221708</c:v>
                </c:pt>
                <c:pt idx="10">
                  <c:v>2.9462738301559792</c:v>
                </c:pt>
                <c:pt idx="11">
                  <c:v>1.40625</c:v>
                </c:pt>
                <c:pt idx="12">
                  <c:v>2.245250431778929</c:v>
                </c:pt>
                <c:pt idx="13">
                  <c:v>2.2592152199762188</c:v>
                </c:pt>
                <c:pt idx="14">
                  <c:v>1.5358361774744027</c:v>
                </c:pt>
                <c:pt idx="15">
                  <c:v>4.4750430292598971</c:v>
                </c:pt>
                <c:pt idx="16">
                  <c:v>3.5714285714285716</c:v>
                </c:pt>
                <c:pt idx="17">
                  <c:v>3.7688442211055277</c:v>
                </c:pt>
                <c:pt idx="18">
                  <c:v>1.7857142857142858</c:v>
                </c:pt>
                <c:pt idx="19">
                  <c:v>2.0100502512562812</c:v>
                </c:pt>
                <c:pt idx="20">
                  <c:v>3.5639412997903563</c:v>
                </c:pt>
                <c:pt idx="21">
                  <c:v>1.0050251256281406</c:v>
                </c:pt>
                <c:pt idx="22">
                  <c:v>4.6321525885558579</c:v>
                </c:pt>
                <c:pt idx="23">
                  <c:v>2.0592020592020592</c:v>
                </c:pt>
                <c:pt idx="24">
                  <c:v>3.7974683544303796</c:v>
                </c:pt>
                <c:pt idx="25">
                  <c:v>2.5735294117647061</c:v>
                </c:pt>
                <c:pt idx="26">
                  <c:v>3.6496350364963503</c:v>
                </c:pt>
                <c:pt idx="27">
                  <c:v>3.3066132264529058</c:v>
                </c:pt>
                <c:pt idx="28">
                  <c:v>4.7309833024118735</c:v>
                </c:pt>
                <c:pt idx="29">
                  <c:v>4.9586776859504136</c:v>
                </c:pt>
                <c:pt idx="30">
                  <c:v>2.1551724137931036</c:v>
                </c:pt>
                <c:pt idx="31">
                  <c:v>4.1916167664670656</c:v>
                </c:pt>
                <c:pt idx="32">
                  <c:v>2.8629856850715747</c:v>
                </c:pt>
                <c:pt idx="33">
                  <c:v>2.7624309392265194</c:v>
                </c:pt>
                <c:pt idx="34">
                  <c:v>2.3866348448687349</c:v>
                </c:pt>
                <c:pt idx="35">
                  <c:v>1.7153748411689962</c:v>
                </c:pt>
                <c:pt idx="36">
                  <c:v>2.3099850968703426</c:v>
                </c:pt>
                <c:pt idx="37">
                  <c:v>2.6170798898071626</c:v>
                </c:pt>
                <c:pt idx="38">
                  <c:v>2.8818443804034581</c:v>
                </c:pt>
                <c:pt idx="39">
                  <c:v>1.0638297872340425</c:v>
                </c:pt>
                <c:pt idx="40">
                  <c:v>2.0497803806734991</c:v>
                </c:pt>
                <c:pt idx="41">
                  <c:v>1.7441860465116279</c:v>
                </c:pt>
                <c:pt idx="42">
                  <c:v>3.5869565217391304</c:v>
                </c:pt>
                <c:pt idx="43">
                  <c:v>2.1879021879021878</c:v>
                </c:pt>
                <c:pt idx="44">
                  <c:v>0.74859638178415466</c:v>
                </c:pt>
                <c:pt idx="45">
                  <c:v>1.5810276679841897</c:v>
                </c:pt>
                <c:pt idx="46">
                  <c:v>2.4734982332155475</c:v>
                </c:pt>
                <c:pt idx="47">
                  <c:v>3.6529680365296802</c:v>
                </c:pt>
                <c:pt idx="48">
                  <c:v>2.7932960893854748</c:v>
                </c:pt>
                <c:pt idx="49">
                  <c:v>1.8821603927986907</c:v>
                </c:pt>
                <c:pt idx="50">
                  <c:v>1.1688311688311688</c:v>
                </c:pt>
                <c:pt idx="51">
                  <c:v>3.9808917197452227</c:v>
                </c:pt>
                <c:pt idx="52">
                  <c:v>2.6536312849162011</c:v>
                </c:pt>
                <c:pt idx="53">
                  <c:v>0.24330900243309003</c:v>
                </c:pt>
                <c:pt idx="54">
                  <c:v>3.1561461794019934</c:v>
                </c:pt>
                <c:pt idx="55">
                  <c:v>3.8854805725971371</c:v>
                </c:pt>
                <c:pt idx="56">
                  <c:v>5.0075872534142638</c:v>
                </c:pt>
                <c:pt idx="57">
                  <c:v>3.5069075451647183</c:v>
                </c:pt>
                <c:pt idx="58">
                  <c:v>4.7619047619047619</c:v>
                </c:pt>
                <c:pt idx="59">
                  <c:v>3.4188034188034186</c:v>
                </c:pt>
                <c:pt idx="60">
                  <c:v>2.9363784665579118</c:v>
                </c:pt>
                <c:pt idx="61">
                  <c:v>1.5531660692951015</c:v>
                </c:pt>
                <c:pt idx="62">
                  <c:v>2.6266416510318948</c:v>
                </c:pt>
                <c:pt idx="63">
                  <c:v>2.9069767441860463</c:v>
                </c:pt>
                <c:pt idx="64">
                  <c:v>3.7383177570093458</c:v>
                </c:pt>
                <c:pt idx="65">
                  <c:v>2.5948103792415171</c:v>
                </c:pt>
                <c:pt idx="66">
                  <c:v>3.6796536796536796</c:v>
                </c:pt>
                <c:pt idx="67">
                  <c:v>1.4492753623188406</c:v>
                </c:pt>
                <c:pt idx="68">
                  <c:v>3.1070195627157653</c:v>
                </c:pt>
                <c:pt idx="69">
                  <c:v>2.8884462151394423</c:v>
                </c:pt>
                <c:pt idx="70">
                  <c:v>3.5164835164835164</c:v>
                </c:pt>
                <c:pt idx="71">
                  <c:v>3.6170212765957448</c:v>
                </c:pt>
                <c:pt idx="72">
                  <c:v>4.166666666666667</c:v>
                </c:pt>
                <c:pt idx="73">
                  <c:v>3.2663316582914574</c:v>
                </c:pt>
                <c:pt idx="74">
                  <c:v>5.286343612334802</c:v>
                </c:pt>
                <c:pt idx="75">
                  <c:v>1.466275659824047</c:v>
                </c:pt>
                <c:pt idx="76">
                  <c:v>2.5179856115107913</c:v>
                </c:pt>
                <c:pt idx="77">
                  <c:v>3.7216828478964401</c:v>
                </c:pt>
                <c:pt idx="78">
                  <c:v>3.4928848641655885</c:v>
                </c:pt>
                <c:pt idx="79">
                  <c:v>2.4390243902439024</c:v>
                </c:pt>
                <c:pt idx="80">
                  <c:v>1.0178117048346056</c:v>
                </c:pt>
                <c:pt idx="81">
                  <c:v>3.0100334448160537</c:v>
                </c:pt>
                <c:pt idx="82">
                  <c:v>4.117009750812568</c:v>
                </c:pt>
                <c:pt idx="83">
                  <c:v>2.593010146561443</c:v>
                </c:pt>
                <c:pt idx="84">
                  <c:v>3.4682080924855492</c:v>
                </c:pt>
                <c:pt idx="85">
                  <c:v>2.3668639053254439</c:v>
                </c:pt>
                <c:pt idx="86">
                  <c:v>2.7818448023426061</c:v>
                </c:pt>
                <c:pt idx="87">
                  <c:v>2.8257456828885399</c:v>
                </c:pt>
                <c:pt idx="88">
                  <c:v>2.9239766081871346</c:v>
                </c:pt>
                <c:pt idx="89">
                  <c:v>3.1105990783410138</c:v>
                </c:pt>
                <c:pt idx="90">
                  <c:v>2.021276595744681</c:v>
                </c:pt>
                <c:pt idx="91">
                  <c:v>1.9024970273483948</c:v>
                </c:pt>
                <c:pt idx="92">
                  <c:v>2.0775623268698062</c:v>
                </c:pt>
                <c:pt idx="93">
                  <c:v>1.4973958333333333</c:v>
                </c:pt>
                <c:pt idx="94">
                  <c:v>3.1847133757961785</c:v>
                </c:pt>
                <c:pt idx="95">
                  <c:v>6.4560439560439562</c:v>
                </c:pt>
                <c:pt idx="96">
                  <c:v>1.4373716632443532</c:v>
                </c:pt>
                <c:pt idx="97">
                  <c:v>2.0300088261253308</c:v>
                </c:pt>
                <c:pt idx="98">
                  <c:v>1.5990159901599017</c:v>
                </c:pt>
                <c:pt idx="99">
                  <c:v>3.022974607013301</c:v>
                </c:pt>
                <c:pt idx="100">
                  <c:v>2.976995940460081</c:v>
                </c:pt>
                <c:pt idx="101">
                  <c:v>1.8581081081081081</c:v>
                </c:pt>
                <c:pt idx="102">
                  <c:v>2.6737967914438503</c:v>
                </c:pt>
                <c:pt idx="103">
                  <c:v>0.56818181818181823</c:v>
                </c:pt>
                <c:pt idx="104">
                  <c:v>3.3333333333333335</c:v>
                </c:pt>
                <c:pt idx="105">
                  <c:v>4.0764331210191083</c:v>
                </c:pt>
                <c:pt idx="106">
                  <c:v>3.5989717223650386</c:v>
                </c:pt>
                <c:pt idx="107">
                  <c:v>3.3492822966507179</c:v>
                </c:pt>
                <c:pt idx="108">
                  <c:v>2.3032629558541267</c:v>
                </c:pt>
                <c:pt idx="109">
                  <c:v>5.2301255230125525</c:v>
                </c:pt>
                <c:pt idx="110">
                  <c:v>2.7285129604365621</c:v>
                </c:pt>
                <c:pt idx="111">
                  <c:v>3.8262668045501553</c:v>
                </c:pt>
                <c:pt idx="112">
                  <c:v>4.4117647058823533</c:v>
                </c:pt>
                <c:pt idx="113">
                  <c:v>1.6366612111292962</c:v>
                </c:pt>
                <c:pt idx="114">
                  <c:v>4.731182795698925</c:v>
                </c:pt>
                <c:pt idx="115">
                  <c:v>2.5</c:v>
                </c:pt>
                <c:pt idx="116">
                  <c:v>2.6993865030674846</c:v>
                </c:pt>
                <c:pt idx="117">
                  <c:v>1.9788918205804749</c:v>
                </c:pt>
                <c:pt idx="118">
                  <c:v>0</c:v>
                </c:pt>
                <c:pt idx="119">
                  <c:v>2.0854021847070507</c:v>
                </c:pt>
                <c:pt idx="120">
                  <c:v>4.4198895027624312</c:v>
                </c:pt>
                <c:pt idx="121">
                  <c:v>2.5316455696202533</c:v>
                </c:pt>
                <c:pt idx="122">
                  <c:v>3.7313432835820897</c:v>
                </c:pt>
                <c:pt idx="123">
                  <c:v>3.6111111111111112</c:v>
                </c:pt>
                <c:pt idx="124">
                  <c:v>2.7127003699136867</c:v>
                </c:pt>
                <c:pt idx="125">
                  <c:v>2.5387870239774331</c:v>
                </c:pt>
                <c:pt idx="126">
                  <c:v>3.6275695284159615</c:v>
                </c:pt>
                <c:pt idx="127">
                  <c:v>4.7091412742382275</c:v>
                </c:pt>
                <c:pt idx="128">
                  <c:v>5.3370786516853936</c:v>
                </c:pt>
                <c:pt idx="129">
                  <c:v>4.4609665427509295</c:v>
                </c:pt>
                <c:pt idx="130">
                  <c:v>3.7735849056603774</c:v>
                </c:pt>
                <c:pt idx="131">
                  <c:v>4.3478260869565215</c:v>
                </c:pt>
                <c:pt idx="132">
                  <c:v>3.7773359840954273</c:v>
                </c:pt>
                <c:pt idx="133">
                  <c:v>2.8571428571428572</c:v>
                </c:pt>
                <c:pt idx="134">
                  <c:v>4.3396226415094343</c:v>
                </c:pt>
                <c:pt idx="135">
                  <c:v>3.3142857142857145</c:v>
                </c:pt>
                <c:pt idx="136">
                  <c:v>2.7972027972027971</c:v>
                </c:pt>
                <c:pt idx="137">
                  <c:v>1.3513513513513513</c:v>
                </c:pt>
                <c:pt idx="138">
                  <c:v>3.1094527363184081</c:v>
                </c:pt>
                <c:pt idx="139">
                  <c:v>3.4805890227576977</c:v>
                </c:pt>
                <c:pt idx="140">
                  <c:v>0.79428117553613975</c:v>
                </c:pt>
                <c:pt idx="141">
                  <c:v>3.9301310043668121</c:v>
                </c:pt>
                <c:pt idx="142">
                  <c:v>2.8117359413202934</c:v>
                </c:pt>
                <c:pt idx="143">
                  <c:v>3.2637075718015667</c:v>
                </c:pt>
                <c:pt idx="144">
                  <c:v>3.1088082901554404</c:v>
                </c:pt>
                <c:pt idx="145">
                  <c:v>4.0511727078891262</c:v>
                </c:pt>
                <c:pt idx="146">
                  <c:v>2.21606648199446</c:v>
                </c:pt>
                <c:pt idx="147">
                  <c:v>3.5114503816793894</c:v>
                </c:pt>
                <c:pt idx="148">
                  <c:v>3.156708004509583</c:v>
                </c:pt>
                <c:pt idx="149">
                  <c:v>3.0303030303030303</c:v>
                </c:pt>
                <c:pt idx="150">
                  <c:v>3.7786774628879893</c:v>
                </c:pt>
                <c:pt idx="151">
                  <c:v>2.8901734104046244</c:v>
                </c:pt>
                <c:pt idx="152">
                  <c:v>6.6985645933014357</c:v>
                </c:pt>
                <c:pt idx="153">
                  <c:v>3.7549407114624507</c:v>
                </c:pt>
                <c:pt idx="154">
                  <c:v>4.1095890410958908</c:v>
                </c:pt>
                <c:pt idx="155">
                  <c:v>4.0238450074515653</c:v>
                </c:pt>
                <c:pt idx="156">
                  <c:v>2.1341463414634148</c:v>
                </c:pt>
                <c:pt idx="157">
                  <c:v>1.75</c:v>
                </c:pt>
                <c:pt idx="158">
                  <c:v>4.7244094488188972</c:v>
                </c:pt>
                <c:pt idx="159">
                  <c:v>3.0852994555353903</c:v>
                </c:pt>
                <c:pt idx="160">
                  <c:v>1.859504132231405</c:v>
                </c:pt>
                <c:pt idx="161">
                  <c:v>5.710491367861886</c:v>
                </c:pt>
                <c:pt idx="162">
                  <c:v>5.7388809182209473</c:v>
                </c:pt>
                <c:pt idx="163">
                  <c:v>3.668261562998405</c:v>
                </c:pt>
                <c:pt idx="164">
                  <c:v>3.2507739938080493</c:v>
                </c:pt>
                <c:pt idx="165">
                  <c:v>3.225806451612903</c:v>
                </c:pt>
                <c:pt idx="166">
                  <c:v>2.845528455284553</c:v>
                </c:pt>
                <c:pt idx="167">
                  <c:v>4.4247787610619467</c:v>
                </c:pt>
                <c:pt idx="168">
                  <c:v>3.5519125683060109</c:v>
                </c:pt>
                <c:pt idx="169">
                  <c:v>5.882352941176471</c:v>
                </c:pt>
                <c:pt idx="170">
                  <c:v>4.3321299638989172</c:v>
                </c:pt>
                <c:pt idx="171">
                  <c:v>3.4990791896869244</c:v>
                </c:pt>
                <c:pt idx="172">
                  <c:v>5.1212938005390836</c:v>
                </c:pt>
                <c:pt idx="173">
                  <c:v>2.0671834625322996</c:v>
                </c:pt>
                <c:pt idx="174">
                  <c:v>3.865979381443299</c:v>
                </c:pt>
                <c:pt idx="175">
                  <c:v>3.3158813263525304</c:v>
                </c:pt>
                <c:pt idx="176">
                  <c:v>2.9515938606847696</c:v>
                </c:pt>
                <c:pt idx="177">
                  <c:v>1.3824884792626728</c:v>
                </c:pt>
                <c:pt idx="178">
                  <c:v>4.0421792618629171</c:v>
                </c:pt>
                <c:pt idx="179">
                  <c:v>1.2658227848101267</c:v>
                </c:pt>
                <c:pt idx="180">
                  <c:v>0.71123755334281646</c:v>
                </c:pt>
                <c:pt idx="181">
                  <c:v>3.5714285714285716</c:v>
                </c:pt>
              </c:numCache>
            </c:numRef>
          </c:yVal>
          <c:bubbleSize>
            <c:numRef>
              <c:f>'Дума одномандатный'!$J$2:$J$183</c:f>
              <c:numCache>
                <c:formatCode>General</c:formatCode>
                <c:ptCount val="182"/>
                <c:pt idx="0">
                  <c:v>2451</c:v>
                </c:pt>
                <c:pt idx="1">
                  <c:v>1779</c:v>
                </c:pt>
                <c:pt idx="2">
                  <c:v>1942</c:v>
                </c:pt>
                <c:pt idx="3">
                  <c:v>2100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377</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2224</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981</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176</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2210</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2924</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0-1915-4D2F-A61C-DFA9673AF133}"/>
            </c:ext>
          </c:extLst>
        </c:ser>
        <c:ser>
          <c:idx val="9"/>
          <c:order val="1"/>
          <c:tx>
            <c:strRef>
              <c:f>'Дума одномандатный'!$AD$1</c:f>
              <c:strCache>
                <c:ptCount val="1"/>
                <c:pt idx="0">
                  <c:v>Калимуллин (Новые люди)</c:v>
                </c:pt>
              </c:strCache>
            </c:strRef>
          </c:tx>
          <c:spPr>
            <a:solidFill>
              <a:srgbClr val="00FFFF">
                <a:alpha val="50196"/>
              </a:srgbClr>
            </a:solidFill>
            <a:ln w="25400"/>
          </c:spPr>
          <c:invertIfNegative val="0"/>
          <c:xVal>
            <c:numRef>
              <c:f>'Дума одномандатный'!$O$2:$O$183</c:f>
              <c:numCache>
                <c:formatCode>0.0</c:formatCode>
                <c:ptCount val="182"/>
                <c:pt idx="0">
                  <c:v>63.484292125662996</c:v>
                </c:pt>
                <c:pt idx="1">
                  <c:v>54.187745924676783</c:v>
                </c:pt>
                <c:pt idx="2">
                  <c:v>55.818743563336767</c:v>
                </c:pt>
                <c:pt idx="3">
                  <c:v>56</c:v>
                </c:pt>
                <c:pt idx="4">
                  <c:v>49.812130971551262</c:v>
                </c:pt>
                <c:pt idx="5">
                  <c:v>51.432958034800407</c:v>
                </c:pt>
                <c:pt idx="6">
                  <c:v>56.158134820070956</c:v>
                </c:pt>
                <c:pt idx="7">
                  <c:v>71.452328159645234</c:v>
                </c:pt>
                <c:pt idx="8">
                  <c:v>73.707753479125245</c:v>
                </c:pt>
                <c:pt idx="9">
                  <c:v>37.016574585635361</c:v>
                </c:pt>
                <c:pt idx="10">
                  <c:v>25.407309555262</c:v>
                </c:pt>
                <c:pt idx="11">
                  <c:v>72.562358276643991</c:v>
                </c:pt>
                <c:pt idx="12">
                  <c:v>52.684258416742495</c:v>
                </c:pt>
                <c:pt idx="13">
                  <c:v>35.041666666666664</c:v>
                </c:pt>
                <c:pt idx="14">
                  <c:v>48.151191454396056</c:v>
                </c:pt>
                <c:pt idx="15">
                  <c:v>29.507364144235652</c:v>
                </c:pt>
                <c:pt idx="16">
                  <c:v>44.562334217506631</c:v>
                </c:pt>
                <c:pt idx="17">
                  <c:v>32.345876701361092</c:v>
                </c:pt>
                <c:pt idx="18">
                  <c:v>48.951048951048953</c:v>
                </c:pt>
                <c:pt idx="19">
                  <c:v>36.920222634508349</c:v>
                </c:pt>
                <c:pt idx="20">
                  <c:v>26.006528835690968</c:v>
                </c:pt>
                <c:pt idx="21">
                  <c:v>47.85954785954786</c:v>
                </c:pt>
                <c:pt idx="22">
                  <c:v>33.137697516930025</c:v>
                </c:pt>
                <c:pt idx="23">
                  <c:v>37.266187050359711</c:v>
                </c:pt>
                <c:pt idx="24">
                  <c:v>31.379462318201853</c:v>
                </c:pt>
                <c:pt idx="25">
                  <c:v>38.636363636363633</c:v>
                </c:pt>
                <c:pt idx="26">
                  <c:v>47.569444444444443</c:v>
                </c:pt>
                <c:pt idx="27">
                  <c:v>43.30472103004292</c:v>
                </c:pt>
                <c:pt idx="28">
                  <c:v>48.960216998191683</c:v>
                </c:pt>
                <c:pt idx="29">
                  <c:v>34.414106939704212</c:v>
                </c:pt>
                <c:pt idx="30">
                  <c:v>41.391614629794823</c:v>
                </c:pt>
                <c:pt idx="31">
                  <c:v>30.035971223021583</c:v>
                </c:pt>
                <c:pt idx="32">
                  <c:v>37.808641975308639</c:v>
                </c:pt>
                <c:pt idx="33">
                  <c:v>95.27145359019265</c:v>
                </c:pt>
                <c:pt idx="34">
                  <c:v>43.419689119170982</c:v>
                </c:pt>
                <c:pt idx="35">
                  <c:v>59.961904761904762</c:v>
                </c:pt>
                <c:pt idx="36">
                  <c:v>80.892103676913806</c:v>
                </c:pt>
                <c:pt idx="37">
                  <c:v>37.891440501043839</c:v>
                </c:pt>
                <c:pt idx="38">
                  <c:v>40.490081680280049</c:v>
                </c:pt>
                <c:pt idx="39">
                  <c:v>40.014164305949009</c:v>
                </c:pt>
                <c:pt idx="40">
                  <c:v>35.019646365422396</c:v>
                </c:pt>
                <c:pt idx="41">
                  <c:v>30.76923076923077</c:v>
                </c:pt>
                <c:pt idx="42">
                  <c:v>34.175334323922733</c:v>
                </c:pt>
                <c:pt idx="43">
                  <c:v>34.108527131782942</c:v>
                </c:pt>
                <c:pt idx="44">
                  <c:v>66.542133665421332</c:v>
                </c:pt>
                <c:pt idx="45">
                  <c:v>77.573904179408771</c:v>
                </c:pt>
                <c:pt idx="46">
                  <c:v>64.759725400457668</c:v>
                </c:pt>
                <c:pt idx="47">
                  <c:v>40.934579439252339</c:v>
                </c:pt>
                <c:pt idx="48">
                  <c:v>46.253229974160206</c:v>
                </c:pt>
                <c:pt idx="49">
                  <c:v>54.984354045596781</c:v>
                </c:pt>
                <c:pt idx="50">
                  <c:v>40.935672514619881</c:v>
                </c:pt>
                <c:pt idx="51">
                  <c:v>37.672465506898618</c:v>
                </c:pt>
                <c:pt idx="52">
                  <c:v>42.771804062126641</c:v>
                </c:pt>
                <c:pt idx="53">
                  <c:v>78.285714285714292</c:v>
                </c:pt>
                <c:pt idx="54">
                  <c:v>33.782267115600447</c:v>
                </c:pt>
                <c:pt idx="55">
                  <c:v>33.562113932738505</c:v>
                </c:pt>
                <c:pt idx="56">
                  <c:v>43.99198931909212</c:v>
                </c:pt>
                <c:pt idx="57">
                  <c:v>35.322822822822822</c:v>
                </c:pt>
                <c:pt idx="58">
                  <c:v>28.550983899821109</c:v>
                </c:pt>
                <c:pt idx="59">
                  <c:v>40.453323088743758</c:v>
                </c:pt>
                <c:pt idx="60">
                  <c:v>38.582677165354333</c:v>
                </c:pt>
                <c:pt idx="61">
                  <c:v>44.122298365840798</c:v>
                </c:pt>
                <c:pt idx="62">
                  <c:v>26.386138613861387</c:v>
                </c:pt>
                <c:pt idx="63">
                  <c:v>26.959247648902821</c:v>
                </c:pt>
                <c:pt idx="64">
                  <c:v>29.1156462585034</c:v>
                </c:pt>
                <c:pt idx="65">
                  <c:v>57.634902411021812</c:v>
                </c:pt>
                <c:pt idx="66">
                  <c:v>64.978902953586498</c:v>
                </c:pt>
                <c:pt idx="67">
                  <c:v>51.035502958579883</c:v>
                </c:pt>
                <c:pt idx="68">
                  <c:v>46.972972972972975</c:v>
                </c:pt>
                <c:pt idx="69">
                  <c:v>52.648138437336129</c:v>
                </c:pt>
                <c:pt idx="70">
                  <c:v>36.752827140549272</c:v>
                </c:pt>
                <c:pt idx="71">
                  <c:v>41.978609625668447</c:v>
                </c:pt>
                <c:pt idx="72">
                  <c:v>40.397350993377486</c:v>
                </c:pt>
                <c:pt idx="73">
                  <c:v>22.40990990990991</c:v>
                </c:pt>
                <c:pt idx="74">
                  <c:v>34.809160305343511</c:v>
                </c:pt>
                <c:pt idx="75">
                  <c:v>51.278195488721806</c:v>
                </c:pt>
                <c:pt idx="76">
                  <c:v>54.563297350343476</c:v>
                </c:pt>
                <c:pt idx="77">
                  <c:v>60.084033613445378</c:v>
                </c:pt>
                <c:pt idx="78">
                  <c:v>50.821827744904667</c:v>
                </c:pt>
                <c:pt idx="79">
                  <c:v>40.422535211267608</c:v>
                </c:pt>
                <c:pt idx="80">
                  <c:v>51.540983606557376</c:v>
                </c:pt>
                <c:pt idx="81">
                  <c:v>40.625</c:v>
                </c:pt>
                <c:pt idx="82">
                  <c:v>47.904811174340402</c:v>
                </c:pt>
                <c:pt idx="83">
                  <c:v>43.352883675464319</c:v>
                </c:pt>
                <c:pt idx="84">
                  <c:v>40.621336459554513</c:v>
                </c:pt>
                <c:pt idx="85">
                  <c:v>39.648093841642229</c:v>
                </c:pt>
                <c:pt idx="86">
                  <c:v>44.669718770438195</c:v>
                </c:pt>
                <c:pt idx="87">
                  <c:v>35.388888888888886</c:v>
                </c:pt>
                <c:pt idx="88">
                  <c:v>35.514018691588788</c:v>
                </c:pt>
                <c:pt idx="89">
                  <c:v>44.083291010665313</c:v>
                </c:pt>
                <c:pt idx="90">
                  <c:v>49.188906331763476</c:v>
                </c:pt>
                <c:pt idx="91">
                  <c:v>51.062537947783852</c:v>
                </c:pt>
                <c:pt idx="92">
                  <c:v>54.863221884498479</c:v>
                </c:pt>
                <c:pt idx="93">
                  <c:v>63.973344439816742</c:v>
                </c:pt>
                <c:pt idx="94">
                  <c:v>66.090611863615138</c:v>
                </c:pt>
                <c:pt idx="95">
                  <c:v>64.959349593495929</c:v>
                </c:pt>
                <c:pt idx="96">
                  <c:v>53.224043715846996</c:v>
                </c:pt>
                <c:pt idx="97">
                  <c:v>47.465437788018434</c:v>
                </c:pt>
                <c:pt idx="98">
                  <c:v>52.964169381107489</c:v>
                </c:pt>
                <c:pt idx="99">
                  <c:v>31.266540642722116</c:v>
                </c:pt>
                <c:pt idx="100">
                  <c:v>36.172295643661279</c:v>
                </c:pt>
                <c:pt idx="101">
                  <c:v>55.275443510737631</c:v>
                </c:pt>
                <c:pt idx="102">
                  <c:v>56.983805668016196</c:v>
                </c:pt>
                <c:pt idx="103">
                  <c:v>100</c:v>
                </c:pt>
                <c:pt idx="104">
                  <c:v>90.865384615384613</c:v>
                </c:pt>
                <c:pt idx="105">
                  <c:v>45.037292025243829</c:v>
                </c:pt>
                <c:pt idx="106">
                  <c:v>34.424778761061944</c:v>
                </c:pt>
                <c:pt idx="107">
                  <c:v>36.03448275862069</c:v>
                </c:pt>
                <c:pt idx="108">
                  <c:v>40.813135261923378</c:v>
                </c:pt>
                <c:pt idx="109">
                  <c:v>37.786561264822133</c:v>
                </c:pt>
                <c:pt idx="110">
                  <c:v>42.10526315789474</c:v>
                </c:pt>
                <c:pt idx="111">
                  <c:v>39.198131568703779</c:v>
                </c:pt>
                <c:pt idx="112">
                  <c:v>39.279869067103107</c:v>
                </c:pt>
                <c:pt idx="113">
                  <c:v>42.108890420399725</c:v>
                </c:pt>
                <c:pt idx="114">
                  <c:v>38.65336658354115</c:v>
                </c:pt>
                <c:pt idx="115">
                  <c:v>35.413899955732624</c:v>
                </c:pt>
                <c:pt idx="116">
                  <c:v>44.002151694459386</c:v>
                </c:pt>
                <c:pt idx="117">
                  <c:v>36.372360844529751</c:v>
                </c:pt>
                <c:pt idx="118">
                  <c:v>0</c:v>
                </c:pt>
                <c:pt idx="119">
                  <c:v>41.481481481481481</c:v>
                </c:pt>
                <c:pt idx="120">
                  <c:v>32.568600989653618</c:v>
                </c:pt>
                <c:pt idx="121">
                  <c:v>51.320918146383718</c:v>
                </c:pt>
                <c:pt idx="122">
                  <c:v>33.550325488232346</c:v>
                </c:pt>
                <c:pt idx="123">
                  <c:v>35.837864557587743</c:v>
                </c:pt>
                <c:pt idx="124">
                  <c:v>43.155339805825243</c:v>
                </c:pt>
                <c:pt idx="125">
                  <c:v>40.560640732265448</c:v>
                </c:pt>
                <c:pt idx="126">
                  <c:v>36.066288704753596</c:v>
                </c:pt>
                <c:pt idx="127">
                  <c:v>33.364140480591495</c:v>
                </c:pt>
                <c:pt idx="128">
                  <c:v>35.832913940613992</c:v>
                </c:pt>
                <c:pt idx="129">
                  <c:v>41.194486983154668</c:v>
                </c:pt>
                <c:pt idx="130">
                  <c:v>70.199587061252586</c:v>
                </c:pt>
                <c:pt idx="131">
                  <c:v>31.971465629053178</c:v>
                </c:pt>
                <c:pt idx="132">
                  <c:v>34.171195652173914</c:v>
                </c:pt>
                <c:pt idx="133">
                  <c:v>33.630748112560056</c:v>
                </c:pt>
                <c:pt idx="134">
                  <c:v>28.648648648648649</c:v>
                </c:pt>
                <c:pt idx="135">
                  <c:v>41.429924242424242</c:v>
                </c:pt>
                <c:pt idx="136">
                  <c:v>55.265700483091784</c:v>
                </c:pt>
                <c:pt idx="137">
                  <c:v>50.684210526315788</c:v>
                </c:pt>
                <c:pt idx="138">
                  <c:v>36.419213973799124</c:v>
                </c:pt>
                <c:pt idx="139">
                  <c:v>34.091943559399184</c:v>
                </c:pt>
                <c:pt idx="140">
                  <c:v>69.944444444444443</c:v>
                </c:pt>
                <c:pt idx="141">
                  <c:v>31.717451523545705</c:v>
                </c:pt>
                <c:pt idx="142">
                  <c:v>40.26290165530672</c:v>
                </c:pt>
                <c:pt idx="143">
                  <c:v>36.320531057373159</c:v>
                </c:pt>
                <c:pt idx="144">
                  <c:v>30.732484076433121</c:v>
                </c:pt>
                <c:pt idx="145">
                  <c:v>36.871069182389938</c:v>
                </c:pt>
                <c:pt idx="146">
                  <c:v>35.288367546432063</c:v>
                </c:pt>
                <c:pt idx="147">
                  <c:v>34.275248560962844</c:v>
                </c:pt>
                <c:pt idx="148">
                  <c:v>38.125802310654684</c:v>
                </c:pt>
                <c:pt idx="149">
                  <c:v>40.316742081447963</c:v>
                </c:pt>
                <c:pt idx="150">
                  <c:v>28.046934140802421</c:v>
                </c:pt>
                <c:pt idx="151">
                  <c:v>28.618602091359385</c:v>
                </c:pt>
                <c:pt idx="152">
                  <c:v>32.336255801959773</c:v>
                </c:pt>
                <c:pt idx="153">
                  <c:v>24.444444444444443</c:v>
                </c:pt>
                <c:pt idx="154">
                  <c:v>28.752735229759299</c:v>
                </c:pt>
                <c:pt idx="155">
                  <c:v>26.303410427283417</c:v>
                </c:pt>
                <c:pt idx="156">
                  <c:v>32.887700534759361</c:v>
                </c:pt>
                <c:pt idx="157">
                  <c:v>53.324468085106382</c:v>
                </c:pt>
                <c:pt idx="158">
                  <c:v>50.189155107187894</c:v>
                </c:pt>
                <c:pt idx="159">
                  <c:v>32.23570190641248</c:v>
                </c:pt>
                <c:pt idx="160">
                  <c:v>44.567219152854513</c:v>
                </c:pt>
                <c:pt idx="161">
                  <c:v>26.778385772913818</c:v>
                </c:pt>
                <c:pt idx="162">
                  <c:v>26.083707025411062</c:v>
                </c:pt>
                <c:pt idx="163">
                  <c:v>26.590330788804071</c:v>
                </c:pt>
                <c:pt idx="164">
                  <c:v>29.204339963833636</c:v>
                </c:pt>
                <c:pt idx="165">
                  <c:v>26.91194708557255</c:v>
                </c:pt>
                <c:pt idx="166">
                  <c:v>22.96983758700696</c:v>
                </c:pt>
                <c:pt idx="167">
                  <c:v>24.077999152183128</c:v>
                </c:pt>
                <c:pt idx="168">
                  <c:v>24.746450304259636</c:v>
                </c:pt>
                <c:pt idx="169">
                  <c:v>16.688918558077436</c:v>
                </c:pt>
                <c:pt idx="170">
                  <c:v>20.803604956815622</c:v>
                </c:pt>
                <c:pt idx="171">
                  <c:v>42.521534847298355</c:v>
                </c:pt>
                <c:pt idx="172">
                  <c:v>34.256694367497694</c:v>
                </c:pt>
                <c:pt idx="173">
                  <c:v>31.412337662337663</c:v>
                </c:pt>
                <c:pt idx="174">
                  <c:v>37.596899224806201</c:v>
                </c:pt>
                <c:pt idx="175">
                  <c:v>37.201166180758015</c:v>
                </c:pt>
                <c:pt idx="176">
                  <c:v>49.561146869514339</c:v>
                </c:pt>
                <c:pt idx="177">
                  <c:v>62.228594838181074</c:v>
                </c:pt>
                <c:pt idx="178">
                  <c:v>31.506090808416388</c:v>
                </c:pt>
                <c:pt idx="179">
                  <c:v>42.149390243902438</c:v>
                </c:pt>
                <c:pt idx="180">
                  <c:v>42.400482509047045</c:v>
                </c:pt>
                <c:pt idx="181">
                  <c:v>26.266416510318951</c:v>
                </c:pt>
              </c:numCache>
            </c:numRef>
          </c:xVal>
          <c:yVal>
            <c:numRef>
              <c:f>'Дума одномандатный'!$AD$2:$AD$183</c:f>
              <c:numCache>
                <c:formatCode>0.0</c:formatCode>
                <c:ptCount val="182"/>
                <c:pt idx="0">
                  <c:v>5.5269922879177376</c:v>
                </c:pt>
                <c:pt idx="1">
                  <c:v>4.6826222684703431</c:v>
                </c:pt>
                <c:pt idx="2">
                  <c:v>1.6635859519408502</c:v>
                </c:pt>
                <c:pt idx="3">
                  <c:v>1.4505119453924915</c:v>
                </c:pt>
                <c:pt idx="4">
                  <c:v>7.0270270270270272</c:v>
                </c:pt>
                <c:pt idx="5">
                  <c:v>3.3132530120481927</c:v>
                </c:pt>
                <c:pt idx="6">
                  <c:v>7.1299638989169676</c:v>
                </c:pt>
                <c:pt idx="7">
                  <c:v>3.0492572322126663</c:v>
                </c:pt>
                <c:pt idx="8">
                  <c:v>3.304113283884019</c:v>
                </c:pt>
                <c:pt idx="9">
                  <c:v>4.2725173210161662</c:v>
                </c:pt>
                <c:pt idx="10">
                  <c:v>2.9462738301559792</c:v>
                </c:pt>
                <c:pt idx="11">
                  <c:v>2.34375</c:v>
                </c:pt>
                <c:pt idx="12">
                  <c:v>5.8721934369602762</c:v>
                </c:pt>
                <c:pt idx="13">
                  <c:v>4.756242568370987</c:v>
                </c:pt>
                <c:pt idx="14">
                  <c:v>6.6552901023890785</c:v>
                </c:pt>
                <c:pt idx="15">
                  <c:v>5.1635111876075728</c:v>
                </c:pt>
                <c:pt idx="16">
                  <c:v>1.7857142857142858</c:v>
                </c:pt>
                <c:pt idx="17">
                  <c:v>7.7889447236180906</c:v>
                </c:pt>
                <c:pt idx="18">
                  <c:v>2.6190476190476191</c:v>
                </c:pt>
                <c:pt idx="19">
                  <c:v>5.7286432160804024</c:v>
                </c:pt>
                <c:pt idx="20">
                  <c:v>7.7568134171907754</c:v>
                </c:pt>
                <c:pt idx="21">
                  <c:v>3.0150753768844223</c:v>
                </c:pt>
                <c:pt idx="22">
                  <c:v>4.3596730245231612</c:v>
                </c:pt>
                <c:pt idx="23">
                  <c:v>5.9202059202059205</c:v>
                </c:pt>
                <c:pt idx="24">
                  <c:v>5.4852320675105481</c:v>
                </c:pt>
                <c:pt idx="25">
                  <c:v>5.0245098039215685</c:v>
                </c:pt>
                <c:pt idx="26">
                  <c:v>5.7351407716371217</c:v>
                </c:pt>
                <c:pt idx="27">
                  <c:v>7.214428857715431</c:v>
                </c:pt>
                <c:pt idx="28">
                  <c:v>5.7513914656771803</c:v>
                </c:pt>
                <c:pt idx="29">
                  <c:v>5.1239669421487601</c:v>
                </c:pt>
                <c:pt idx="30">
                  <c:v>5.6034482758620694</c:v>
                </c:pt>
                <c:pt idx="31">
                  <c:v>5.0898203592814371</c:v>
                </c:pt>
                <c:pt idx="32">
                  <c:v>4.4989775051124745</c:v>
                </c:pt>
                <c:pt idx="33">
                  <c:v>5.70902394106814</c:v>
                </c:pt>
                <c:pt idx="34">
                  <c:v>4.5346062052505971</c:v>
                </c:pt>
                <c:pt idx="35">
                  <c:v>3.7484116899618805</c:v>
                </c:pt>
                <c:pt idx="36">
                  <c:v>0.96870342771982121</c:v>
                </c:pt>
                <c:pt idx="37">
                  <c:v>3.0303030303030303</c:v>
                </c:pt>
                <c:pt idx="38">
                  <c:v>3.4582132564841497</c:v>
                </c:pt>
                <c:pt idx="39">
                  <c:v>3.5460992907801416</c:v>
                </c:pt>
                <c:pt idx="40">
                  <c:v>5.2708638360175692</c:v>
                </c:pt>
                <c:pt idx="41">
                  <c:v>7.558139534883721</c:v>
                </c:pt>
                <c:pt idx="42">
                  <c:v>6.0869565217391308</c:v>
                </c:pt>
                <c:pt idx="43">
                  <c:v>6.3063063063063067</c:v>
                </c:pt>
                <c:pt idx="44">
                  <c:v>2.7448533998752338</c:v>
                </c:pt>
                <c:pt idx="45">
                  <c:v>1.9762845849802371</c:v>
                </c:pt>
                <c:pt idx="46">
                  <c:v>3.5335689045936394</c:v>
                </c:pt>
                <c:pt idx="47">
                  <c:v>5.9360730593607309</c:v>
                </c:pt>
                <c:pt idx="48">
                  <c:v>4.3296089385474863</c:v>
                </c:pt>
                <c:pt idx="49">
                  <c:v>5.1554828150572831</c:v>
                </c:pt>
                <c:pt idx="50">
                  <c:v>9.3506493506493502</c:v>
                </c:pt>
                <c:pt idx="51">
                  <c:v>5.5732484076433124</c:v>
                </c:pt>
                <c:pt idx="52">
                  <c:v>4.7486033519553077</c:v>
                </c:pt>
                <c:pt idx="53">
                  <c:v>2.9197080291970803</c:v>
                </c:pt>
                <c:pt idx="54">
                  <c:v>5.1495016611295679</c:v>
                </c:pt>
                <c:pt idx="55">
                  <c:v>3.6809815950920246</c:v>
                </c:pt>
                <c:pt idx="56">
                  <c:v>4.8558421851289832</c:v>
                </c:pt>
                <c:pt idx="57">
                  <c:v>6.5887353878852286</c:v>
                </c:pt>
                <c:pt idx="58">
                  <c:v>7.2681704260651632</c:v>
                </c:pt>
                <c:pt idx="59">
                  <c:v>3.9886039886039888</c:v>
                </c:pt>
                <c:pt idx="60">
                  <c:v>6.5252854812398047</c:v>
                </c:pt>
                <c:pt idx="61">
                  <c:v>4.5400238948626042</c:v>
                </c:pt>
                <c:pt idx="62">
                  <c:v>5.8161350844277671</c:v>
                </c:pt>
                <c:pt idx="63">
                  <c:v>5.2325581395348841</c:v>
                </c:pt>
                <c:pt idx="64">
                  <c:v>3.7383177570093458</c:v>
                </c:pt>
                <c:pt idx="65">
                  <c:v>4.324683965402528</c:v>
                </c:pt>
                <c:pt idx="66">
                  <c:v>4.9783549783549788</c:v>
                </c:pt>
                <c:pt idx="67">
                  <c:v>4.63768115942029</c:v>
                </c:pt>
                <c:pt idx="68">
                  <c:v>4.372842347525892</c:v>
                </c:pt>
                <c:pt idx="69">
                  <c:v>6.2749003984063743</c:v>
                </c:pt>
                <c:pt idx="70">
                  <c:v>4.615384615384615</c:v>
                </c:pt>
                <c:pt idx="71">
                  <c:v>3.6170212765957448</c:v>
                </c:pt>
                <c:pt idx="72">
                  <c:v>4</c:v>
                </c:pt>
                <c:pt idx="73">
                  <c:v>8.7939698492462313</c:v>
                </c:pt>
                <c:pt idx="74">
                  <c:v>6.8281938325991192</c:v>
                </c:pt>
                <c:pt idx="75">
                  <c:v>1.466275659824047</c:v>
                </c:pt>
                <c:pt idx="76">
                  <c:v>4.4064748201438846</c:v>
                </c:pt>
                <c:pt idx="77">
                  <c:v>3.883495145631068</c:v>
                </c:pt>
                <c:pt idx="78">
                  <c:v>7.5032341526520048</c:v>
                </c:pt>
                <c:pt idx="79">
                  <c:v>1.7421602787456445</c:v>
                </c:pt>
                <c:pt idx="80">
                  <c:v>5.5979643765903306</c:v>
                </c:pt>
                <c:pt idx="81">
                  <c:v>8.0267558528428093</c:v>
                </c:pt>
                <c:pt idx="82">
                  <c:v>10.942578548212351</c:v>
                </c:pt>
                <c:pt idx="83">
                  <c:v>6.313416009019166</c:v>
                </c:pt>
                <c:pt idx="84">
                  <c:v>5.0578034682080926</c:v>
                </c:pt>
                <c:pt idx="85">
                  <c:v>6.5088757396449708</c:v>
                </c:pt>
                <c:pt idx="86">
                  <c:v>6.0029282576866763</c:v>
                </c:pt>
                <c:pt idx="87">
                  <c:v>4.8665620094191526</c:v>
                </c:pt>
                <c:pt idx="88">
                  <c:v>4.5321637426900585</c:v>
                </c:pt>
                <c:pt idx="89">
                  <c:v>4.9539170506912447</c:v>
                </c:pt>
                <c:pt idx="90">
                  <c:v>4.8936170212765955</c:v>
                </c:pt>
                <c:pt idx="91">
                  <c:v>3.4482758620689653</c:v>
                </c:pt>
                <c:pt idx="92">
                  <c:v>4.2936288088642662</c:v>
                </c:pt>
                <c:pt idx="93">
                  <c:v>3.8411458333333335</c:v>
                </c:pt>
                <c:pt idx="94">
                  <c:v>4.6001415428167016</c:v>
                </c:pt>
                <c:pt idx="95">
                  <c:v>3.9835164835164836</c:v>
                </c:pt>
                <c:pt idx="96">
                  <c:v>3.9014373716632442</c:v>
                </c:pt>
                <c:pt idx="97">
                  <c:v>4.8543689320388346</c:v>
                </c:pt>
                <c:pt idx="98">
                  <c:v>2.2140221402214024</c:v>
                </c:pt>
                <c:pt idx="99">
                  <c:v>7.8597339782345825</c:v>
                </c:pt>
                <c:pt idx="100">
                  <c:v>6.2246278755074425</c:v>
                </c:pt>
                <c:pt idx="101">
                  <c:v>5.6587837837837842</c:v>
                </c:pt>
                <c:pt idx="102">
                  <c:v>4.4563279857397502</c:v>
                </c:pt>
                <c:pt idx="103">
                  <c:v>0.56818181818181823</c:v>
                </c:pt>
                <c:pt idx="104">
                  <c:v>5</c:v>
                </c:pt>
                <c:pt idx="105">
                  <c:v>4.5859872611464967</c:v>
                </c:pt>
                <c:pt idx="106">
                  <c:v>5.9125964010282779</c:v>
                </c:pt>
                <c:pt idx="107">
                  <c:v>6.339712918660287</c:v>
                </c:pt>
                <c:pt idx="108">
                  <c:v>6.90978886756238</c:v>
                </c:pt>
                <c:pt idx="109">
                  <c:v>3.9748953974895396</c:v>
                </c:pt>
                <c:pt idx="110">
                  <c:v>7.3669849931787175</c:v>
                </c:pt>
                <c:pt idx="111">
                  <c:v>5.7911065149948291</c:v>
                </c:pt>
                <c:pt idx="112">
                  <c:v>5.882352941176471</c:v>
                </c:pt>
                <c:pt idx="113">
                  <c:v>6.0556464811783961</c:v>
                </c:pt>
                <c:pt idx="114">
                  <c:v>4.086021505376344</c:v>
                </c:pt>
                <c:pt idx="115">
                  <c:v>6.875</c:v>
                </c:pt>
                <c:pt idx="116">
                  <c:v>5.5214723926380369</c:v>
                </c:pt>
                <c:pt idx="117">
                  <c:v>5.6728232189973617</c:v>
                </c:pt>
                <c:pt idx="118">
                  <c:v>0</c:v>
                </c:pt>
                <c:pt idx="119">
                  <c:v>5.4617676266137041</c:v>
                </c:pt>
                <c:pt idx="120">
                  <c:v>7.458563535911602</c:v>
                </c:pt>
                <c:pt idx="121">
                  <c:v>4.7257383966244726</c:v>
                </c:pt>
                <c:pt idx="122">
                  <c:v>5.8208955223880601</c:v>
                </c:pt>
                <c:pt idx="123">
                  <c:v>5.2777777777777777</c:v>
                </c:pt>
                <c:pt idx="124">
                  <c:v>4.808877928483354</c:v>
                </c:pt>
                <c:pt idx="125">
                  <c:v>6.488011283497884</c:v>
                </c:pt>
                <c:pt idx="126">
                  <c:v>6.2877871825876666</c:v>
                </c:pt>
                <c:pt idx="127">
                  <c:v>6.2326869806094187</c:v>
                </c:pt>
                <c:pt idx="128">
                  <c:v>8.8483146067415728</c:v>
                </c:pt>
                <c:pt idx="129">
                  <c:v>4.6468401486988844</c:v>
                </c:pt>
                <c:pt idx="130">
                  <c:v>9.1981132075471699</c:v>
                </c:pt>
                <c:pt idx="131">
                  <c:v>5.5900621118012426</c:v>
                </c:pt>
                <c:pt idx="132">
                  <c:v>7.1570576540755466</c:v>
                </c:pt>
                <c:pt idx="133">
                  <c:v>4.4897959183673466</c:v>
                </c:pt>
                <c:pt idx="134">
                  <c:v>6.0377358490566042</c:v>
                </c:pt>
                <c:pt idx="135">
                  <c:v>5.2571428571428571</c:v>
                </c:pt>
                <c:pt idx="136">
                  <c:v>5.244755244755245</c:v>
                </c:pt>
                <c:pt idx="137">
                  <c:v>3.2224532224532223</c:v>
                </c:pt>
                <c:pt idx="138">
                  <c:v>5.8457711442786069</c:v>
                </c:pt>
                <c:pt idx="139">
                  <c:v>6.2918340026773762</c:v>
                </c:pt>
                <c:pt idx="140">
                  <c:v>0.71485305798252585</c:v>
                </c:pt>
                <c:pt idx="141">
                  <c:v>7.4235807860262009</c:v>
                </c:pt>
                <c:pt idx="142">
                  <c:v>4.6454767726161368</c:v>
                </c:pt>
                <c:pt idx="143">
                  <c:v>4.438642297650131</c:v>
                </c:pt>
                <c:pt idx="144">
                  <c:v>4.9222797927461137</c:v>
                </c:pt>
                <c:pt idx="145">
                  <c:v>7.4626865671641793</c:v>
                </c:pt>
                <c:pt idx="146">
                  <c:v>3.601108033240997</c:v>
                </c:pt>
                <c:pt idx="147">
                  <c:v>5.9541984732824424</c:v>
                </c:pt>
                <c:pt idx="148">
                  <c:v>4.96054114994363</c:v>
                </c:pt>
                <c:pt idx="149">
                  <c:v>4.7138047138047137</c:v>
                </c:pt>
                <c:pt idx="150">
                  <c:v>7.6923076923076925</c:v>
                </c:pt>
                <c:pt idx="151">
                  <c:v>5.7803468208092488</c:v>
                </c:pt>
                <c:pt idx="152">
                  <c:v>7.9744816586921852</c:v>
                </c:pt>
                <c:pt idx="153">
                  <c:v>7.3122529644268779</c:v>
                </c:pt>
                <c:pt idx="154">
                  <c:v>9.4368340943683418</c:v>
                </c:pt>
                <c:pt idx="155">
                  <c:v>8.49478390461997</c:v>
                </c:pt>
                <c:pt idx="156">
                  <c:v>5.0813008130081299</c:v>
                </c:pt>
                <c:pt idx="157">
                  <c:v>3.25</c:v>
                </c:pt>
                <c:pt idx="158">
                  <c:v>8.3989501312335957</c:v>
                </c:pt>
                <c:pt idx="159">
                  <c:v>7.0780399274047188</c:v>
                </c:pt>
                <c:pt idx="160">
                  <c:v>5.785123966942149</c:v>
                </c:pt>
                <c:pt idx="161">
                  <c:v>9.9601593625498008</c:v>
                </c:pt>
                <c:pt idx="162">
                  <c:v>8.4648493543758967</c:v>
                </c:pt>
                <c:pt idx="163">
                  <c:v>7.9744816586921852</c:v>
                </c:pt>
                <c:pt idx="164">
                  <c:v>11.300309597523221</c:v>
                </c:pt>
                <c:pt idx="165">
                  <c:v>9.0629800307219668</c:v>
                </c:pt>
                <c:pt idx="166">
                  <c:v>7.1138211382113825</c:v>
                </c:pt>
                <c:pt idx="167">
                  <c:v>6.9026548672566372</c:v>
                </c:pt>
                <c:pt idx="168">
                  <c:v>6.8306010928961749</c:v>
                </c:pt>
                <c:pt idx="169">
                  <c:v>10.084033613445378</c:v>
                </c:pt>
                <c:pt idx="170">
                  <c:v>6.859205776173285</c:v>
                </c:pt>
                <c:pt idx="171">
                  <c:v>3.1307550644567219</c:v>
                </c:pt>
                <c:pt idx="172">
                  <c:v>4.5822102425876015</c:v>
                </c:pt>
                <c:pt idx="173">
                  <c:v>6.4599483204134369</c:v>
                </c:pt>
                <c:pt idx="174">
                  <c:v>7.4742268041237114</c:v>
                </c:pt>
                <c:pt idx="175">
                  <c:v>6.1082024432809776</c:v>
                </c:pt>
                <c:pt idx="176">
                  <c:v>5.667060212514758</c:v>
                </c:pt>
                <c:pt idx="177">
                  <c:v>2.8308097432521397</c:v>
                </c:pt>
                <c:pt idx="178">
                  <c:v>3.1634446397188047</c:v>
                </c:pt>
                <c:pt idx="179">
                  <c:v>1.9891500904159132</c:v>
                </c:pt>
                <c:pt idx="180">
                  <c:v>0.8534850640113798</c:v>
                </c:pt>
                <c:pt idx="181">
                  <c:v>4.2857142857142856</c:v>
                </c:pt>
              </c:numCache>
            </c:numRef>
          </c:yVal>
          <c:bubbleSize>
            <c:numRef>
              <c:f>'Дума одномандатный'!$J$2:$J$183</c:f>
              <c:numCache>
                <c:formatCode>General</c:formatCode>
                <c:ptCount val="182"/>
                <c:pt idx="0">
                  <c:v>2451</c:v>
                </c:pt>
                <c:pt idx="1">
                  <c:v>1779</c:v>
                </c:pt>
                <c:pt idx="2">
                  <c:v>1942</c:v>
                </c:pt>
                <c:pt idx="3">
                  <c:v>2100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377</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2224</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981</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176</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2210</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2924</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1-1915-4D2F-A61C-DFA9673AF133}"/>
            </c:ext>
          </c:extLst>
        </c:ser>
        <c:ser>
          <c:idx val="10"/>
          <c:order val="2"/>
          <c:tx>
            <c:strRef>
              <c:f>'Дума одномандатный'!$AF$1</c:f>
              <c:strCache>
                <c:ptCount val="1"/>
                <c:pt idx="0">
                  <c:v>Кумохин (СР)</c:v>
                </c:pt>
              </c:strCache>
            </c:strRef>
          </c:tx>
          <c:spPr>
            <a:solidFill>
              <a:srgbClr val="9999FF">
                <a:alpha val="50196"/>
              </a:srgbClr>
            </a:solidFill>
            <a:ln w="25400">
              <a:noFill/>
            </a:ln>
            <a:effectLst/>
          </c:spPr>
          <c:invertIfNegative val="0"/>
          <c:xVal>
            <c:numRef>
              <c:f>'Дума одномандатный'!$O$2:$O$183</c:f>
              <c:numCache>
                <c:formatCode>0.0</c:formatCode>
                <c:ptCount val="182"/>
                <c:pt idx="0">
                  <c:v>63.484292125662996</c:v>
                </c:pt>
                <c:pt idx="1">
                  <c:v>54.187745924676783</c:v>
                </c:pt>
                <c:pt idx="2">
                  <c:v>55.818743563336767</c:v>
                </c:pt>
                <c:pt idx="3">
                  <c:v>56</c:v>
                </c:pt>
                <c:pt idx="4">
                  <c:v>49.812130971551262</c:v>
                </c:pt>
                <c:pt idx="5">
                  <c:v>51.432958034800407</c:v>
                </c:pt>
                <c:pt idx="6">
                  <c:v>56.158134820070956</c:v>
                </c:pt>
                <c:pt idx="7">
                  <c:v>71.452328159645234</c:v>
                </c:pt>
                <c:pt idx="8">
                  <c:v>73.707753479125245</c:v>
                </c:pt>
                <c:pt idx="9">
                  <c:v>37.016574585635361</c:v>
                </c:pt>
                <c:pt idx="10">
                  <c:v>25.407309555262</c:v>
                </c:pt>
                <c:pt idx="11">
                  <c:v>72.562358276643991</c:v>
                </c:pt>
                <c:pt idx="12">
                  <c:v>52.684258416742495</c:v>
                </c:pt>
                <c:pt idx="13">
                  <c:v>35.041666666666664</c:v>
                </c:pt>
                <c:pt idx="14">
                  <c:v>48.151191454396056</c:v>
                </c:pt>
                <c:pt idx="15">
                  <c:v>29.507364144235652</c:v>
                </c:pt>
                <c:pt idx="16">
                  <c:v>44.562334217506631</c:v>
                </c:pt>
                <c:pt idx="17">
                  <c:v>32.345876701361092</c:v>
                </c:pt>
                <c:pt idx="18">
                  <c:v>48.951048951048953</c:v>
                </c:pt>
                <c:pt idx="19">
                  <c:v>36.920222634508349</c:v>
                </c:pt>
                <c:pt idx="20">
                  <c:v>26.006528835690968</c:v>
                </c:pt>
                <c:pt idx="21">
                  <c:v>47.85954785954786</c:v>
                </c:pt>
                <c:pt idx="22">
                  <c:v>33.137697516930025</c:v>
                </c:pt>
                <c:pt idx="23">
                  <c:v>37.266187050359711</c:v>
                </c:pt>
                <c:pt idx="24">
                  <c:v>31.379462318201853</c:v>
                </c:pt>
                <c:pt idx="25">
                  <c:v>38.636363636363633</c:v>
                </c:pt>
                <c:pt idx="26">
                  <c:v>47.569444444444443</c:v>
                </c:pt>
                <c:pt idx="27">
                  <c:v>43.30472103004292</c:v>
                </c:pt>
                <c:pt idx="28">
                  <c:v>48.960216998191683</c:v>
                </c:pt>
                <c:pt idx="29">
                  <c:v>34.414106939704212</c:v>
                </c:pt>
                <c:pt idx="30">
                  <c:v>41.391614629794823</c:v>
                </c:pt>
                <c:pt idx="31">
                  <c:v>30.035971223021583</c:v>
                </c:pt>
                <c:pt idx="32">
                  <c:v>37.808641975308639</c:v>
                </c:pt>
                <c:pt idx="33">
                  <c:v>95.27145359019265</c:v>
                </c:pt>
                <c:pt idx="34">
                  <c:v>43.419689119170982</c:v>
                </c:pt>
                <c:pt idx="35">
                  <c:v>59.961904761904762</c:v>
                </c:pt>
                <c:pt idx="36">
                  <c:v>80.892103676913806</c:v>
                </c:pt>
                <c:pt idx="37">
                  <c:v>37.891440501043839</c:v>
                </c:pt>
                <c:pt idx="38">
                  <c:v>40.490081680280049</c:v>
                </c:pt>
                <c:pt idx="39">
                  <c:v>40.014164305949009</c:v>
                </c:pt>
                <c:pt idx="40">
                  <c:v>35.019646365422396</c:v>
                </c:pt>
                <c:pt idx="41">
                  <c:v>30.76923076923077</c:v>
                </c:pt>
                <c:pt idx="42">
                  <c:v>34.175334323922733</c:v>
                </c:pt>
                <c:pt idx="43">
                  <c:v>34.108527131782942</c:v>
                </c:pt>
                <c:pt idx="44">
                  <c:v>66.542133665421332</c:v>
                </c:pt>
                <c:pt idx="45">
                  <c:v>77.573904179408771</c:v>
                </c:pt>
                <c:pt idx="46">
                  <c:v>64.759725400457668</c:v>
                </c:pt>
                <c:pt idx="47">
                  <c:v>40.934579439252339</c:v>
                </c:pt>
                <c:pt idx="48">
                  <c:v>46.253229974160206</c:v>
                </c:pt>
                <c:pt idx="49">
                  <c:v>54.984354045596781</c:v>
                </c:pt>
                <c:pt idx="50">
                  <c:v>40.935672514619881</c:v>
                </c:pt>
                <c:pt idx="51">
                  <c:v>37.672465506898618</c:v>
                </c:pt>
                <c:pt idx="52">
                  <c:v>42.771804062126641</c:v>
                </c:pt>
                <c:pt idx="53">
                  <c:v>78.285714285714292</c:v>
                </c:pt>
                <c:pt idx="54">
                  <c:v>33.782267115600447</c:v>
                </c:pt>
                <c:pt idx="55">
                  <c:v>33.562113932738505</c:v>
                </c:pt>
                <c:pt idx="56">
                  <c:v>43.99198931909212</c:v>
                </c:pt>
                <c:pt idx="57">
                  <c:v>35.322822822822822</c:v>
                </c:pt>
                <c:pt idx="58">
                  <c:v>28.550983899821109</c:v>
                </c:pt>
                <c:pt idx="59">
                  <c:v>40.453323088743758</c:v>
                </c:pt>
                <c:pt idx="60">
                  <c:v>38.582677165354333</c:v>
                </c:pt>
                <c:pt idx="61">
                  <c:v>44.122298365840798</c:v>
                </c:pt>
                <c:pt idx="62">
                  <c:v>26.386138613861387</c:v>
                </c:pt>
                <c:pt idx="63">
                  <c:v>26.959247648902821</c:v>
                </c:pt>
                <c:pt idx="64">
                  <c:v>29.1156462585034</c:v>
                </c:pt>
                <c:pt idx="65">
                  <c:v>57.634902411021812</c:v>
                </c:pt>
                <c:pt idx="66">
                  <c:v>64.978902953586498</c:v>
                </c:pt>
                <c:pt idx="67">
                  <c:v>51.035502958579883</c:v>
                </c:pt>
                <c:pt idx="68">
                  <c:v>46.972972972972975</c:v>
                </c:pt>
                <c:pt idx="69">
                  <c:v>52.648138437336129</c:v>
                </c:pt>
                <c:pt idx="70">
                  <c:v>36.752827140549272</c:v>
                </c:pt>
                <c:pt idx="71">
                  <c:v>41.978609625668447</c:v>
                </c:pt>
                <c:pt idx="72">
                  <c:v>40.397350993377486</c:v>
                </c:pt>
                <c:pt idx="73">
                  <c:v>22.40990990990991</c:v>
                </c:pt>
                <c:pt idx="74">
                  <c:v>34.809160305343511</c:v>
                </c:pt>
                <c:pt idx="75">
                  <c:v>51.278195488721806</c:v>
                </c:pt>
                <c:pt idx="76">
                  <c:v>54.563297350343476</c:v>
                </c:pt>
                <c:pt idx="77">
                  <c:v>60.084033613445378</c:v>
                </c:pt>
                <c:pt idx="78">
                  <c:v>50.821827744904667</c:v>
                </c:pt>
                <c:pt idx="79">
                  <c:v>40.422535211267608</c:v>
                </c:pt>
                <c:pt idx="80">
                  <c:v>51.540983606557376</c:v>
                </c:pt>
                <c:pt idx="81">
                  <c:v>40.625</c:v>
                </c:pt>
                <c:pt idx="82">
                  <c:v>47.904811174340402</c:v>
                </c:pt>
                <c:pt idx="83">
                  <c:v>43.352883675464319</c:v>
                </c:pt>
                <c:pt idx="84">
                  <c:v>40.621336459554513</c:v>
                </c:pt>
                <c:pt idx="85">
                  <c:v>39.648093841642229</c:v>
                </c:pt>
                <c:pt idx="86">
                  <c:v>44.669718770438195</c:v>
                </c:pt>
                <c:pt idx="87">
                  <c:v>35.388888888888886</c:v>
                </c:pt>
                <c:pt idx="88">
                  <c:v>35.514018691588788</c:v>
                </c:pt>
                <c:pt idx="89">
                  <c:v>44.083291010665313</c:v>
                </c:pt>
                <c:pt idx="90">
                  <c:v>49.188906331763476</c:v>
                </c:pt>
                <c:pt idx="91">
                  <c:v>51.062537947783852</c:v>
                </c:pt>
                <c:pt idx="92">
                  <c:v>54.863221884498479</c:v>
                </c:pt>
                <c:pt idx="93">
                  <c:v>63.973344439816742</c:v>
                </c:pt>
                <c:pt idx="94">
                  <c:v>66.090611863615138</c:v>
                </c:pt>
                <c:pt idx="95">
                  <c:v>64.959349593495929</c:v>
                </c:pt>
                <c:pt idx="96">
                  <c:v>53.224043715846996</c:v>
                </c:pt>
                <c:pt idx="97">
                  <c:v>47.465437788018434</c:v>
                </c:pt>
                <c:pt idx="98">
                  <c:v>52.964169381107489</c:v>
                </c:pt>
                <c:pt idx="99">
                  <c:v>31.266540642722116</c:v>
                </c:pt>
                <c:pt idx="100">
                  <c:v>36.172295643661279</c:v>
                </c:pt>
                <c:pt idx="101">
                  <c:v>55.275443510737631</c:v>
                </c:pt>
                <c:pt idx="102">
                  <c:v>56.983805668016196</c:v>
                </c:pt>
                <c:pt idx="103">
                  <c:v>100</c:v>
                </c:pt>
                <c:pt idx="104">
                  <c:v>90.865384615384613</c:v>
                </c:pt>
                <c:pt idx="105">
                  <c:v>45.037292025243829</c:v>
                </c:pt>
                <c:pt idx="106">
                  <c:v>34.424778761061944</c:v>
                </c:pt>
                <c:pt idx="107">
                  <c:v>36.03448275862069</c:v>
                </c:pt>
                <c:pt idx="108">
                  <c:v>40.813135261923378</c:v>
                </c:pt>
                <c:pt idx="109">
                  <c:v>37.786561264822133</c:v>
                </c:pt>
                <c:pt idx="110">
                  <c:v>42.10526315789474</c:v>
                </c:pt>
                <c:pt idx="111">
                  <c:v>39.198131568703779</c:v>
                </c:pt>
                <c:pt idx="112">
                  <c:v>39.279869067103107</c:v>
                </c:pt>
                <c:pt idx="113">
                  <c:v>42.108890420399725</c:v>
                </c:pt>
                <c:pt idx="114">
                  <c:v>38.65336658354115</c:v>
                </c:pt>
                <c:pt idx="115">
                  <c:v>35.413899955732624</c:v>
                </c:pt>
                <c:pt idx="116">
                  <c:v>44.002151694459386</c:v>
                </c:pt>
                <c:pt idx="117">
                  <c:v>36.372360844529751</c:v>
                </c:pt>
                <c:pt idx="118">
                  <c:v>0</c:v>
                </c:pt>
                <c:pt idx="119">
                  <c:v>41.481481481481481</c:v>
                </c:pt>
                <c:pt idx="120">
                  <c:v>32.568600989653618</c:v>
                </c:pt>
                <c:pt idx="121">
                  <c:v>51.320918146383718</c:v>
                </c:pt>
                <c:pt idx="122">
                  <c:v>33.550325488232346</c:v>
                </c:pt>
                <c:pt idx="123">
                  <c:v>35.837864557587743</c:v>
                </c:pt>
                <c:pt idx="124">
                  <c:v>43.155339805825243</c:v>
                </c:pt>
                <c:pt idx="125">
                  <c:v>40.560640732265448</c:v>
                </c:pt>
                <c:pt idx="126">
                  <c:v>36.066288704753596</c:v>
                </c:pt>
                <c:pt idx="127">
                  <c:v>33.364140480591495</c:v>
                </c:pt>
                <c:pt idx="128">
                  <c:v>35.832913940613992</c:v>
                </c:pt>
                <c:pt idx="129">
                  <c:v>41.194486983154668</c:v>
                </c:pt>
                <c:pt idx="130">
                  <c:v>70.199587061252586</c:v>
                </c:pt>
                <c:pt idx="131">
                  <c:v>31.971465629053178</c:v>
                </c:pt>
                <c:pt idx="132">
                  <c:v>34.171195652173914</c:v>
                </c:pt>
                <c:pt idx="133">
                  <c:v>33.630748112560056</c:v>
                </c:pt>
                <c:pt idx="134">
                  <c:v>28.648648648648649</c:v>
                </c:pt>
                <c:pt idx="135">
                  <c:v>41.429924242424242</c:v>
                </c:pt>
                <c:pt idx="136">
                  <c:v>55.265700483091784</c:v>
                </c:pt>
                <c:pt idx="137">
                  <c:v>50.684210526315788</c:v>
                </c:pt>
                <c:pt idx="138">
                  <c:v>36.419213973799124</c:v>
                </c:pt>
                <c:pt idx="139">
                  <c:v>34.091943559399184</c:v>
                </c:pt>
                <c:pt idx="140">
                  <c:v>69.944444444444443</c:v>
                </c:pt>
                <c:pt idx="141">
                  <c:v>31.717451523545705</c:v>
                </c:pt>
                <c:pt idx="142">
                  <c:v>40.26290165530672</c:v>
                </c:pt>
                <c:pt idx="143">
                  <c:v>36.320531057373159</c:v>
                </c:pt>
                <c:pt idx="144">
                  <c:v>30.732484076433121</c:v>
                </c:pt>
                <c:pt idx="145">
                  <c:v>36.871069182389938</c:v>
                </c:pt>
                <c:pt idx="146">
                  <c:v>35.288367546432063</c:v>
                </c:pt>
                <c:pt idx="147">
                  <c:v>34.275248560962844</c:v>
                </c:pt>
                <c:pt idx="148">
                  <c:v>38.125802310654684</c:v>
                </c:pt>
                <c:pt idx="149">
                  <c:v>40.316742081447963</c:v>
                </c:pt>
                <c:pt idx="150">
                  <c:v>28.046934140802421</c:v>
                </c:pt>
                <c:pt idx="151">
                  <c:v>28.618602091359385</c:v>
                </c:pt>
                <c:pt idx="152">
                  <c:v>32.336255801959773</c:v>
                </c:pt>
                <c:pt idx="153">
                  <c:v>24.444444444444443</c:v>
                </c:pt>
                <c:pt idx="154">
                  <c:v>28.752735229759299</c:v>
                </c:pt>
                <c:pt idx="155">
                  <c:v>26.303410427283417</c:v>
                </c:pt>
                <c:pt idx="156">
                  <c:v>32.887700534759361</c:v>
                </c:pt>
                <c:pt idx="157">
                  <c:v>53.324468085106382</c:v>
                </c:pt>
                <c:pt idx="158">
                  <c:v>50.189155107187894</c:v>
                </c:pt>
                <c:pt idx="159">
                  <c:v>32.23570190641248</c:v>
                </c:pt>
                <c:pt idx="160">
                  <c:v>44.567219152854513</c:v>
                </c:pt>
                <c:pt idx="161">
                  <c:v>26.778385772913818</c:v>
                </c:pt>
                <c:pt idx="162">
                  <c:v>26.083707025411062</c:v>
                </c:pt>
                <c:pt idx="163">
                  <c:v>26.590330788804071</c:v>
                </c:pt>
                <c:pt idx="164">
                  <c:v>29.204339963833636</c:v>
                </c:pt>
                <c:pt idx="165">
                  <c:v>26.91194708557255</c:v>
                </c:pt>
                <c:pt idx="166">
                  <c:v>22.96983758700696</c:v>
                </c:pt>
                <c:pt idx="167">
                  <c:v>24.077999152183128</c:v>
                </c:pt>
                <c:pt idx="168">
                  <c:v>24.746450304259636</c:v>
                </c:pt>
                <c:pt idx="169">
                  <c:v>16.688918558077436</c:v>
                </c:pt>
                <c:pt idx="170">
                  <c:v>20.803604956815622</c:v>
                </c:pt>
                <c:pt idx="171">
                  <c:v>42.521534847298355</c:v>
                </c:pt>
                <c:pt idx="172">
                  <c:v>34.256694367497694</c:v>
                </c:pt>
                <c:pt idx="173">
                  <c:v>31.412337662337663</c:v>
                </c:pt>
                <c:pt idx="174">
                  <c:v>37.596899224806201</c:v>
                </c:pt>
                <c:pt idx="175">
                  <c:v>37.201166180758015</c:v>
                </c:pt>
                <c:pt idx="176">
                  <c:v>49.561146869514339</c:v>
                </c:pt>
                <c:pt idx="177">
                  <c:v>62.228594838181074</c:v>
                </c:pt>
                <c:pt idx="178">
                  <c:v>31.506090808416388</c:v>
                </c:pt>
                <c:pt idx="179">
                  <c:v>42.149390243902438</c:v>
                </c:pt>
                <c:pt idx="180">
                  <c:v>42.400482509047045</c:v>
                </c:pt>
                <c:pt idx="181">
                  <c:v>26.266416510318951</c:v>
                </c:pt>
              </c:numCache>
            </c:numRef>
          </c:xVal>
          <c:yVal>
            <c:numRef>
              <c:f>'Дума одномандатный'!$AF$2:$AF$183</c:f>
              <c:numCache>
                <c:formatCode>0.0</c:formatCode>
                <c:ptCount val="182"/>
                <c:pt idx="0">
                  <c:v>6.1696658097686372</c:v>
                </c:pt>
                <c:pt idx="1">
                  <c:v>5.9313215400624353</c:v>
                </c:pt>
                <c:pt idx="2">
                  <c:v>2.587800369685767</c:v>
                </c:pt>
                <c:pt idx="3">
                  <c:v>1.4505119453924915</c:v>
                </c:pt>
                <c:pt idx="4">
                  <c:v>8.7567567567567561</c:v>
                </c:pt>
                <c:pt idx="5">
                  <c:v>4.3172690763052213</c:v>
                </c:pt>
                <c:pt idx="6">
                  <c:v>5.0541516245487363</c:v>
                </c:pt>
                <c:pt idx="7">
                  <c:v>5.1602814698983579</c:v>
                </c:pt>
                <c:pt idx="8">
                  <c:v>5.4619015509103166</c:v>
                </c:pt>
                <c:pt idx="9">
                  <c:v>9.2378752886836022</c:v>
                </c:pt>
                <c:pt idx="10">
                  <c:v>7.2790294627383014</c:v>
                </c:pt>
                <c:pt idx="11">
                  <c:v>3.28125</c:v>
                </c:pt>
                <c:pt idx="12">
                  <c:v>7.081174438687392</c:v>
                </c:pt>
                <c:pt idx="13">
                  <c:v>6.183115338882283</c:v>
                </c:pt>
                <c:pt idx="14">
                  <c:v>8.8737201365187719</c:v>
                </c:pt>
                <c:pt idx="15">
                  <c:v>8.0895008605851988</c:v>
                </c:pt>
                <c:pt idx="16">
                  <c:v>7.1428571428571432</c:v>
                </c:pt>
                <c:pt idx="17">
                  <c:v>8.291457286432161</c:v>
                </c:pt>
                <c:pt idx="18">
                  <c:v>5.5952380952380949</c:v>
                </c:pt>
                <c:pt idx="19">
                  <c:v>6.1306532663316586</c:v>
                </c:pt>
                <c:pt idx="20">
                  <c:v>6.7085953878406706</c:v>
                </c:pt>
                <c:pt idx="21">
                  <c:v>4.5226130653266328</c:v>
                </c:pt>
                <c:pt idx="22">
                  <c:v>7.3569482288828336</c:v>
                </c:pt>
                <c:pt idx="23">
                  <c:v>10.167310167310168</c:v>
                </c:pt>
                <c:pt idx="24">
                  <c:v>7.3136427566807312</c:v>
                </c:pt>
                <c:pt idx="25">
                  <c:v>7.7205882352941178</c:v>
                </c:pt>
                <c:pt idx="26">
                  <c:v>7.4035453597497396</c:v>
                </c:pt>
                <c:pt idx="27">
                  <c:v>5.6112224448897798</c:v>
                </c:pt>
                <c:pt idx="28">
                  <c:v>5.4730983302411875</c:v>
                </c:pt>
                <c:pt idx="29">
                  <c:v>9.0909090909090917</c:v>
                </c:pt>
                <c:pt idx="30">
                  <c:v>8.1896551724137936</c:v>
                </c:pt>
                <c:pt idx="31">
                  <c:v>7.634730538922156</c:v>
                </c:pt>
                <c:pt idx="32">
                  <c:v>7.9754601226993866</c:v>
                </c:pt>
                <c:pt idx="33">
                  <c:v>6.8139963167587476</c:v>
                </c:pt>
                <c:pt idx="34">
                  <c:v>3.5799522673031028</c:v>
                </c:pt>
                <c:pt idx="35">
                  <c:v>4.066073697585769</c:v>
                </c:pt>
                <c:pt idx="36">
                  <c:v>0</c:v>
                </c:pt>
                <c:pt idx="37">
                  <c:v>3.0303030303030303</c:v>
                </c:pt>
                <c:pt idx="38">
                  <c:v>6.0518731988472618</c:v>
                </c:pt>
                <c:pt idx="39">
                  <c:v>5.8510638297872344</c:v>
                </c:pt>
                <c:pt idx="40">
                  <c:v>8.9311859443631043</c:v>
                </c:pt>
                <c:pt idx="41">
                  <c:v>8.720930232558139</c:v>
                </c:pt>
                <c:pt idx="42">
                  <c:v>7.6086956521739131</c:v>
                </c:pt>
                <c:pt idx="43">
                  <c:v>10.296010296010296</c:v>
                </c:pt>
                <c:pt idx="44">
                  <c:v>3.3063006862133499</c:v>
                </c:pt>
                <c:pt idx="45">
                  <c:v>1.9762845849802371</c:v>
                </c:pt>
                <c:pt idx="46">
                  <c:v>1.7667844522968197</c:v>
                </c:pt>
                <c:pt idx="47">
                  <c:v>7.3059360730593603</c:v>
                </c:pt>
                <c:pt idx="48">
                  <c:v>5.5865921787709496</c:v>
                </c:pt>
                <c:pt idx="49">
                  <c:v>6.5466448445171848</c:v>
                </c:pt>
                <c:pt idx="50">
                  <c:v>5.0649350649350646</c:v>
                </c:pt>
                <c:pt idx="51">
                  <c:v>7.9617834394904454</c:v>
                </c:pt>
                <c:pt idx="52">
                  <c:v>8.5195530726256976</c:v>
                </c:pt>
                <c:pt idx="53">
                  <c:v>6.0827250608272507</c:v>
                </c:pt>
                <c:pt idx="54">
                  <c:v>7.6411960132890364</c:v>
                </c:pt>
                <c:pt idx="55">
                  <c:v>10.429447852760736</c:v>
                </c:pt>
                <c:pt idx="56">
                  <c:v>7.1320182094081943</c:v>
                </c:pt>
                <c:pt idx="57">
                  <c:v>8.8204038257173227</c:v>
                </c:pt>
                <c:pt idx="58">
                  <c:v>7.8947368421052628</c:v>
                </c:pt>
                <c:pt idx="59">
                  <c:v>8.2621082621082618</c:v>
                </c:pt>
                <c:pt idx="60">
                  <c:v>7.0146818923327894</c:v>
                </c:pt>
                <c:pt idx="61">
                  <c:v>4.6594982078853047</c:v>
                </c:pt>
                <c:pt idx="62">
                  <c:v>7.5046904315197001</c:v>
                </c:pt>
                <c:pt idx="63">
                  <c:v>7.558139534883721</c:v>
                </c:pt>
                <c:pt idx="64">
                  <c:v>5.3738317757009346</c:v>
                </c:pt>
                <c:pt idx="65">
                  <c:v>5.2561543579507655</c:v>
                </c:pt>
                <c:pt idx="66">
                  <c:v>6.2770562770562774</c:v>
                </c:pt>
                <c:pt idx="67">
                  <c:v>4.9275362318840576</c:v>
                </c:pt>
                <c:pt idx="68">
                  <c:v>9.0909090909090917</c:v>
                </c:pt>
                <c:pt idx="69">
                  <c:v>8.8645418326693228</c:v>
                </c:pt>
                <c:pt idx="70">
                  <c:v>7.9120879120879124</c:v>
                </c:pt>
                <c:pt idx="71">
                  <c:v>9.5744680851063837</c:v>
                </c:pt>
                <c:pt idx="72">
                  <c:v>8.3333333333333339</c:v>
                </c:pt>
                <c:pt idx="73">
                  <c:v>7.0351758793969852</c:v>
                </c:pt>
                <c:pt idx="74">
                  <c:v>8.3700440528634363</c:v>
                </c:pt>
                <c:pt idx="75">
                  <c:v>4.3988269794721404</c:v>
                </c:pt>
                <c:pt idx="76">
                  <c:v>6.0251798561151082</c:v>
                </c:pt>
                <c:pt idx="77">
                  <c:v>5.5016181229773462</c:v>
                </c:pt>
                <c:pt idx="78">
                  <c:v>7.115135834411384</c:v>
                </c:pt>
                <c:pt idx="79">
                  <c:v>9.4076655052264808</c:v>
                </c:pt>
                <c:pt idx="80">
                  <c:v>8.6513994910941481</c:v>
                </c:pt>
                <c:pt idx="81">
                  <c:v>8.1939799331103682</c:v>
                </c:pt>
                <c:pt idx="82">
                  <c:v>6.5005417118093174</c:v>
                </c:pt>
                <c:pt idx="83">
                  <c:v>9.3573844419391214</c:v>
                </c:pt>
                <c:pt idx="84">
                  <c:v>8.5260115606936413</c:v>
                </c:pt>
                <c:pt idx="85">
                  <c:v>8.4319526627218941</c:v>
                </c:pt>
                <c:pt idx="86">
                  <c:v>9.2240117130307464</c:v>
                </c:pt>
                <c:pt idx="87">
                  <c:v>8.3202511773940344</c:v>
                </c:pt>
                <c:pt idx="88">
                  <c:v>5.7017543859649127</c:v>
                </c:pt>
                <c:pt idx="89">
                  <c:v>6.1059907834101379</c:v>
                </c:pt>
                <c:pt idx="90">
                  <c:v>5.4255319148936172</c:v>
                </c:pt>
                <c:pt idx="91">
                  <c:v>7.1343638525564801</c:v>
                </c:pt>
                <c:pt idx="92">
                  <c:v>6.3711911357340716</c:v>
                </c:pt>
                <c:pt idx="93">
                  <c:v>2.734375</c:v>
                </c:pt>
                <c:pt idx="94">
                  <c:v>4.3878273177636231</c:v>
                </c:pt>
                <c:pt idx="95">
                  <c:v>6.3186813186813184</c:v>
                </c:pt>
                <c:pt idx="96">
                  <c:v>0</c:v>
                </c:pt>
                <c:pt idx="97">
                  <c:v>5.1191526919682255</c:v>
                </c:pt>
                <c:pt idx="98">
                  <c:v>4.3050430504305046</c:v>
                </c:pt>
                <c:pt idx="99">
                  <c:v>10.882708585247883</c:v>
                </c:pt>
                <c:pt idx="100">
                  <c:v>7.1718538565629233</c:v>
                </c:pt>
                <c:pt idx="101">
                  <c:v>5.5743243243243246</c:v>
                </c:pt>
                <c:pt idx="102">
                  <c:v>6.4171122994652405</c:v>
                </c:pt>
                <c:pt idx="103">
                  <c:v>1.7045454545454546</c:v>
                </c:pt>
                <c:pt idx="104">
                  <c:v>11.666666666666666</c:v>
                </c:pt>
                <c:pt idx="105">
                  <c:v>7.2611464968152868</c:v>
                </c:pt>
                <c:pt idx="106">
                  <c:v>5.3984575835475574</c:v>
                </c:pt>
                <c:pt idx="107">
                  <c:v>8.3732057416267942</c:v>
                </c:pt>
                <c:pt idx="108">
                  <c:v>7.4856046065259116</c:v>
                </c:pt>
                <c:pt idx="109">
                  <c:v>8.99581589958159</c:v>
                </c:pt>
                <c:pt idx="110">
                  <c:v>9.1405184174624825</c:v>
                </c:pt>
                <c:pt idx="111">
                  <c:v>9.3071354705274043</c:v>
                </c:pt>
                <c:pt idx="112">
                  <c:v>8.1932773109243691</c:v>
                </c:pt>
                <c:pt idx="113">
                  <c:v>6.3829787234042552</c:v>
                </c:pt>
                <c:pt idx="114">
                  <c:v>7.311827956989247</c:v>
                </c:pt>
                <c:pt idx="115">
                  <c:v>7.625</c:v>
                </c:pt>
                <c:pt idx="116">
                  <c:v>6.6257668711656441</c:v>
                </c:pt>
                <c:pt idx="117">
                  <c:v>8.311345646437994</c:v>
                </c:pt>
                <c:pt idx="118">
                  <c:v>0</c:v>
                </c:pt>
                <c:pt idx="119">
                  <c:v>6.8520357497517379</c:v>
                </c:pt>
                <c:pt idx="120">
                  <c:v>11.325966850828729</c:v>
                </c:pt>
                <c:pt idx="121">
                  <c:v>5.8227848101265822</c:v>
                </c:pt>
                <c:pt idx="122">
                  <c:v>8.656716417910447</c:v>
                </c:pt>
                <c:pt idx="123">
                  <c:v>10.138888888888889</c:v>
                </c:pt>
                <c:pt idx="124">
                  <c:v>8.7546239210850807</c:v>
                </c:pt>
                <c:pt idx="125">
                  <c:v>8.6036671368124118</c:v>
                </c:pt>
                <c:pt idx="126">
                  <c:v>9.5525997581620317</c:v>
                </c:pt>
                <c:pt idx="127">
                  <c:v>9.2797783933518012</c:v>
                </c:pt>
                <c:pt idx="128">
                  <c:v>7.4438202247191008</c:v>
                </c:pt>
                <c:pt idx="129">
                  <c:v>9.4795539033457246</c:v>
                </c:pt>
                <c:pt idx="130">
                  <c:v>5.4245283018867925</c:v>
                </c:pt>
                <c:pt idx="131">
                  <c:v>11.387163561076605</c:v>
                </c:pt>
                <c:pt idx="132">
                  <c:v>8.1510934393638177</c:v>
                </c:pt>
                <c:pt idx="133">
                  <c:v>7.7551020408163263</c:v>
                </c:pt>
                <c:pt idx="134">
                  <c:v>9.6226415094339615</c:v>
                </c:pt>
                <c:pt idx="135">
                  <c:v>8.5714285714285712</c:v>
                </c:pt>
                <c:pt idx="136">
                  <c:v>5.9440559440559442</c:v>
                </c:pt>
                <c:pt idx="137">
                  <c:v>6.0291060291060292</c:v>
                </c:pt>
                <c:pt idx="138">
                  <c:v>11.318407960199005</c:v>
                </c:pt>
                <c:pt idx="139">
                  <c:v>6.8273092369477908</c:v>
                </c:pt>
                <c:pt idx="140">
                  <c:v>0.87370929308975376</c:v>
                </c:pt>
                <c:pt idx="141">
                  <c:v>7.8602620087336241</c:v>
                </c:pt>
                <c:pt idx="142">
                  <c:v>7.4572127139364301</c:v>
                </c:pt>
                <c:pt idx="143">
                  <c:v>7.4412532637075719</c:v>
                </c:pt>
                <c:pt idx="144">
                  <c:v>7.2538860103626943</c:v>
                </c:pt>
                <c:pt idx="145">
                  <c:v>8.5287846481876333</c:v>
                </c:pt>
                <c:pt idx="146">
                  <c:v>7.4792243767313016</c:v>
                </c:pt>
                <c:pt idx="147">
                  <c:v>8.3969465648854964</c:v>
                </c:pt>
                <c:pt idx="148">
                  <c:v>8.1172491544532139</c:v>
                </c:pt>
                <c:pt idx="149">
                  <c:v>8.5297418630751967</c:v>
                </c:pt>
                <c:pt idx="150">
                  <c:v>7.287449392712551</c:v>
                </c:pt>
                <c:pt idx="151">
                  <c:v>7.3217726396917149</c:v>
                </c:pt>
                <c:pt idx="152">
                  <c:v>6.5390749601275919</c:v>
                </c:pt>
                <c:pt idx="153">
                  <c:v>7.5098814229249014</c:v>
                </c:pt>
                <c:pt idx="154">
                  <c:v>5.9360730593607309</c:v>
                </c:pt>
                <c:pt idx="155">
                  <c:v>5.6631892697466464</c:v>
                </c:pt>
                <c:pt idx="156">
                  <c:v>5.9959349593495936</c:v>
                </c:pt>
                <c:pt idx="157">
                  <c:v>5</c:v>
                </c:pt>
                <c:pt idx="158">
                  <c:v>8.9238845144356951</c:v>
                </c:pt>
                <c:pt idx="159">
                  <c:v>6.5335753176043561</c:v>
                </c:pt>
                <c:pt idx="160">
                  <c:v>6.4049586776859506</c:v>
                </c:pt>
                <c:pt idx="161">
                  <c:v>5.8432934926958833</c:v>
                </c:pt>
                <c:pt idx="162">
                  <c:v>6.3127690100430414</c:v>
                </c:pt>
                <c:pt idx="163">
                  <c:v>6.0606060606060606</c:v>
                </c:pt>
                <c:pt idx="164">
                  <c:v>8.204334365325078</c:v>
                </c:pt>
                <c:pt idx="165">
                  <c:v>8.7557603686635943</c:v>
                </c:pt>
                <c:pt idx="166">
                  <c:v>7.5203252032520327</c:v>
                </c:pt>
                <c:pt idx="167">
                  <c:v>7.610619469026549</c:v>
                </c:pt>
                <c:pt idx="168">
                  <c:v>7.6502732240437155</c:v>
                </c:pt>
                <c:pt idx="169">
                  <c:v>6.7226890756302522</c:v>
                </c:pt>
                <c:pt idx="170">
                  <c:v>7.7617328519855597</c:v>
                </c:pt>
                <c:pt idx="171">
                  <c:v>7.5506445672191527</c:v>
                </c:pt>
                <c:pt idx="172">
                  <c:v>5.6603773584905657</c:v>
                </c:pt>
                <c:pt idx="173">
                  <c:v>8.0103359173126609</c:v>
                </c:pt>
                <c:pt idx="174">
                  <c:v>7.2164948453608249</c:v>
                </c:pt>
                <c:pt idx="175">
                  <c:v>6.6317626527050608</c:v>
                </c:pt>
                <c:pt idx="176">
                  <c:v>7.7922077922077921</c:v>
                </c:pt>
                <c:pt idx="177">
                  <c:v>3.225806451612903</c:v>
                </c:pt>
                <c:pt idx="178">
                  <c:v>5.272407732864675</c:v>
                </c:pt>
                <c:pt idx="179">
                  <c:v>3.0741410488245933</c:v>
                </c:pt>
                <c:pt idx="180">
                  <c:v>3.271692745376956</c:v>
                </c:pt>
                <c:pt idx="181">
                  <c:v>4.2857142857142856</c:v>
                </c:pt>
              </c:numCache>
            </c:numRef>
          </c:yVal>
          <c:bubbleSize>
            <c:numRef>
              <c:f>'Дума одномандатный'!$J$2:$J$183</c:f>
              <c:numCache>
                <c:formatCode>General</c:formatCode>
                <c:ptCount val="182"/>
                <c:pt idx="0">
                  <c:v>2451</c:v>
                </c:pt>
                <c:pt idx="1">
                  <c:v>1779</c:v>
                </c:pt>
                <c:pt idx="2">
                  <c:v>1942</c:v>
                </c:pt>
                <c:pt idx="3">
                  <c:v>2100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377</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2224</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981</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176</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2210</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2924</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2-1915-4D2F-A61C-DFA9673AF133}"/>
            </c:ext>
          </c:extLst>
        </c:ser>
        <c:ser>
          <c:idx val="11"/>
          <c:order val="3"/>
          <c:tx>
            <c:strRef>
              <c:f>'Дума одномандатный'!$AH$1</c:f>
              <c:strCache>
                <c:ptCount val="1"/>
                <c:pt idx="0">
                  <c:v>Майданов (Единая Россия)</c:v>
                </c:pt>
              </c:strCache>
            </c:strRef>
          </c:tx>
          <c:spPr>
            <a:solidFill>
              <a:srgbClr val="0000FF">
                <a:alpha val="50196"/>
              </a:srgbClr>
            </a:solidFill>
            <a:ln w="25400">
              <a:noFill/>
            </a:ln>
            <a:effectLst/>
          </c:spPr>
          <c:invertIfNegative val="0"/>
          <c:xVal>
            <c:numRef>
              <c:f>'Дума одномандатный'!$O$2:$O$183</c:f>
              <c:numCache>
                <c:formatCode>0.0</c:formatCode>
                <c:ptCount val="182"/>
                <c:pt idx="0">
                  <c:v>63.484292125662996</c:v>
                </c:pt>
                <c:pt idx="1">
                  <c:v>54.187745924676783</c:v>
                </c:pt>
                <c:pt idx="2">
                  <c:v>55.818743563336767</c:v>
                </c:pt>
                <c:pt idx="3">
                  <c:v>56</c:v>
                </c:pt>
                <c:pt idx="4">
                  <c:v>49.812130971551262</c:v>
                </c:pt>
                <c:pt idx="5">
                  <c:v>51.432958034800407</c:v>
                </c:pt>
                <c:pt idx="6">
                  <c:v>56.158134820070956</c:v>
                </c:pt>
                <c:pt idx="7">
                  <c:v>71.452328159645234</c:v>
                </c:pt>
                <c:pt idx="8">
                  <c:v>73.707753479125245</c:v>
                </c:pt>
                <c:pt idx="9">
                  <c:v>37.016574585635361</c:v>
                </c:pt>
                <c:pt idx="10">
                  <c:v>25.407309555262</c:v>
                </c:pt>
                <c:pt idx="11">
                  <c:v>72.562358276643991</c:v>
                </c:pt>
                <c:pt idx="12">
                  <c:v>52.684258416742495</c:v>
                </c:pt>
                <c:pt idx="13">
                  <c:v>35.041666666666664</c:v>
                </c:pt>
                <c:pt idx="14">
                  <c:v>48.151191454396056</c:v>
                </c:pt>
                <c:pt idx="15">
                  <c:v>29.507364144235652</c:v>
                </c:pt>
                <c:pt idx="16">
                  <c:v>44.562334217506631</c:v>
                </c:pt>
                <c:pt idx="17">
                  <c:v>32.345876701361092</c:v>
                </c:pt>
                <c:pt idx="18">
                  <c:v>48.951048951048953</c:v>
                </c:pt>
                <c:pt idx="19">
                  <c:v>36.920222634508349</c:v>
                </c:pt>
                <c:pt idx="20">
                  <c:v>26.006528835690968</c:v>
                </c:pt>
                <c:pt idx="21">
                  <c:v>47.85954785954786</c:v>
                </c:pt>
                <c:pt idx="22">
                  <c:v>33.137697516930025</c:v>
                </c:pt>
                <c:pt idx="23">
                  <c:v>37.266187050359711</c:v>
                </c:pt>
                <c:pt idx="24">
                  <c:v>31.379462318201853</c:v>
                </c:pt>
                <c:pt idx="25">
                  <c:v>38.636363636363633</c:v>
                </c:pt>
                <c:pt idx="26">
                  <c:v>47.569444444444443</c:v>
                </c:pt>
                <c:pt idx="27">
                  <c:v>43.30472103004292</c:v>
                </c:pt>
                <c:pt idx="28">
                  <c:v>48.960216998191683</c:v>
                </c:pt>
                <c:pt idx="29">
                  <c:v>34.414106939704212</c:v>
                </c:pt>
                <c:pt idx="30">
                  <c:v>41.391614629794823</c:v>
                </c:pt>
                <c:pt idx="31">
                  <c:v>30.035971223021583</c:v>
                </c:pt>
                <c:pt idx="32">
                  <c:v>37.808641975308639</c:v>
                </c:pt>
                <c:pt idx="33">
                  <c:v>95.27145359019265</c:v>
                </c:pt>
                <c:pt idx="34">
                  <c:v>43.419689119170982</c:v>
                </c:pt>
                <c:pt idx="35">
                  <c:v>59.961904761904762</c:v>
                </c:pt>
                <c:pt idx="36">
                  <c:v>80.892103676913806</c:v>
                </c:pt>
                <c:pt idx="37">
                  <c:v>37.891440501043839</c:v>
                </c:pt>
                <c:pt idx="38">
                  <c:v>40.490081680280049</c:v>
                </c:pt>
                <c:pt idx="39">
                  <c:v>40.014164305949009</c:v>
                </c:pt>
                <c:pt idx="40">
                  <c:v>35.019646365422396</c:v>
                </c:pt>
                <c:pt idx="41">
                  <c:v>30.76923076923077</c:v>
                </c:pt>
                <c:pt idx="42">
                  <c:v>34.175334323922733</c:v>
                </c:pt>
                <c:pt idx="43">
                  <c:v>34.108527131782942</c:v>
                </c:pt>
                <c:pt idx="44">
                  <c:v>66.542133665421332</c:v>
                </c:pt>
                <c:pt idx="45">
                  <c:v>77.573904179408771</c:v>
                </c:pt>
                <c:pt idx="46">
                  <c:v>64.759725400457668</c:v>
                </c:pt>
                <c:pt idx="47">
                  <c:v>40.934579439252339</c:v>
                </c:pt>
                <c:pt idx="48">
                  <c:v>46.253229974160206</c:v>
                </c:pt>
                <c:pt idx="49">
                  <c:v>54.984354045596781</c:v>
                </c:pt>
                <c:pt idx="50">
                  <c:v>40.935672514619881</c:v>
                </c:pt>
                <c:pt idx="51">
                  <c:v>37.672465506898618</c:v>
                </c:pt>
                <c:pt idx="52">
                  <c:v>42.771804062126641</c:v>
                </c:pt>
                <c:pt idx="53">
                  <c:v>78.285714285714292</c:v>
                </c:pt>
                <c:pt idx="54">
                  <c:v>33.782267115600447</c:v>
                </c:pt>
                <c:pt idx="55">
                  <c:v>33.562113932738505</c:v>
                </c:pt>
                <c:pt idx="56">
                  <c:v>43.99198931909212</c:v>
                </c:pt>
                <c:pt idx="57">
                  <c:v>35.322822822822822</c:v>
                </c:pt>
                <c:pt idx="58">
                  <c:v>28.550983899821109</c:v>
                </c:pt>
                <c:pt idx="59">
                  <c:v>40.453323088743758</c:v>
                </c:pt>
                <c:pt idx="60">
                  <c:v>38.582677165354333</c:v>
                </c:pt>
                <c:pt idx="61">
                  <c:v>44.122298365840798</c:v>
                </c:pt>
                <c:pt idx="62">
                  <c:v>26.386138613861387</c:v>
                </c:pt>
                <c:pt idx="63">
                  <c:v>26.959247648902821</c:v>
                </c:pt>
                <c:pt idx="64">
                  <c:v>29.1156462585034</c:v>
                </c:pt>
                <c:pt idx="65">
                  <c:v>57.634902411021812</c:v>
                </c:pt>
                <c:pt idx="66">
                  <c:v>64.978902953586498</c:v>
                </c:pt>
                <c:pt idx="67">
                  <c:v>51.035502958579883</c:v>
                </c:pt>
                <c:pt idx="68">
                  <c:v>46.972972972972975</c:v>
                </c:pt>
                <c:pt idx="69">
                  <c:v>52.648138437336129</c:v>
                </c:pt>
                <c:pt idx="70">
                  <c:v>36.752827140549272</c:v>
                </c:pt>
                <c:pt idx="71">
                  <c:v>41.978609625668447</c:v>
                </c:pt>
                <c:pt idx="72">
                  <c:v>40.397350993377486</c:v>
                </c:pt>
                <c:pt idx="73">
                  <c:v>22.40990990990991</c:v>
                </c:pt>
                <c:pt idx="74">
                  <c:v>34.809160305343511</c:v>
                </c:pt>
                <c:pt idx="75">
                  <c:v>51.278195488721806</c:v>
                </c:pt>
                <c:pt idx="76">
                  <c:v>54.563297350343476</c:v>
                </c:pt>
                <c:pt idx="77">
                  <c:v>60.084033613445378</c:v>
                </c:pt>
                <c:pt idx="78">
                  <c:v>50.821827744904667</c:v>
                </c:pt>
                <c:pt idx="79">
                  <c:v>40.422535211267608</c:v>
                </c:pt>
                <c:pt idx="80">
                  <c:v>51.540983606557376</c:v>
                </c:pt>
                <c:pt idx="81">
                  <c:v>40.625</c:v>
                </c:pt>
                <c:pt idx="82">
                  <c:v>47.904811174340402</c:v>
                </c:pt>
                <c:pt idx="83">
                  <c:v>43.352883675464319</c:v>
                </c:pt>
                <c:pt idx="84">
                  <c:v>40.621336459554513</c:v>
                </c:pt>
                <c:pt idx="85">
                  <c:v>39.648093841642229</c:v>
                </c:pt>
                <c:pt idx="86">
                  <c:v>44.669718770438195</c:v>
                </c:pt>
                <c:pt idx="87">
                  <c:v>35.388888888888886</c:v>
                </c:pt>
                <c:pt idx="88">
                  <c:v>35.514018691588788</c:v>
                </c:pt>
                <c:pt idx="89">
                  <c:v>44.083291010665313</c:v>
                </c:pt>
                <c:pt idx="90">
                  <c:v>49.188906331763476</c:v>
                </c:pt>
                <c:pt idx="91">
                  <c:v>51.062537947783852</c:v>
                </c:pt>
                <c:pt idx="92">
                  <c:v>54.863221884498479</c:v>
                </c:pt>
                <c:pt idx="93">
                  <c:v>63.973344439816742</c:v>
                </c:pt>
                <c:pt idx="94">
                  <c:v>66.090611863615138</c:v>
                </c:pt>
                <c:pt idx="95">
                  <c:v>64.959349593495929</c:v>
                </c:pt>
                <c:pt idx="96">
                  <c:v>53.224043715846996</c:v>
                </c:pt>
                <c:pt idx="97">
                  <c:v>47.465437788018434</c:v>
                </c:pt>
                <c:pt idx="98">
                  <c:v>52.964169381107489</c:v>
                </c:pt>
                <c:pt idx="99">
                  <c:v>31.266540642722116</c:v>
                </c:pt>
                <c:pt idx="100">
                  <c:v>36.172295643661279</c:v>
                </c:pt>
                <c:pt idx="101">
                  <c:v>55.275443510737631</c:v>
                </c:pt>
                <c:pt idx="102">
                  <c:v>56.983805668016196</c:v>
                </c:pt>
                <c:pt idx="103">
                  <c:v>100</c:v>
                </c:pt>
                <c:pt idx="104">
                  <c:v>90.865384615384613</c:v>
                </c:pt>
                <c:pt idx="105">
                  <c:v>45.037292025243829</c:v>
                </c:pt>
                <c:pt idx="106">
                  <c:v>34.424778761061944</c:v>
                </c:pt>
                <c:pt idx="107">
                  <c:v>36.03448275862069</c:v>
                </c:pt>
                <c:pt idx="108">
                  <c:v>40.813135261923378</c:v>
                </c:pt>
                <c:pt idx="109">
                  <c:v>37.786561264822133</c:v>
                </c:pt>
                <c:pt idx="110">
                  <c:v>42.10526315789474</c:v>
                </c:pt>
                <c:pt idx="111">
                  <c:v>39.198131568703779</c:v>
                </c:pt>
                <c:pt idx="112">
                  <c:v>39.279869067103107</c:v>
                </c:pt>
                <c:pt idx="113">
                  <c:v>42.108890420399725</c:v>
                </c:pt>
                <c:pt idx="114">
                  <c:v>38.65336658354115</c:v>
                </c:pt>
                <c:pt idx="115">
                  <c:v>35.413899955732624</c:v>
                </c:pt>
                <c:pt idx="116">
                  <c:v>44.002151694459386</c:v>
                </c:pt>
                <c:pt idx="117">
                  <c:v>36.372360844529751</c:v>
                </c:pt>
                <c:pt idx="118">
                  <c:v>0</c:v>
                </c:pt>
                <c:pt idx="119">
                  <c:v>41.481481481481481</c:v>
                </c:pt>
                <c:pt idx="120">
                  <c:v>32.568600989653618</c:v>
                </c:pt>
                <c:pt idx="121">
                  <c:v>51.320918146383718</c:v>
                </c:pt>
                <c:pt idx="122">
                  <c:v>33.550325488232346</c:v>
                </c:pt>
                <c:pt idx="123">
                  <c:v>35.837864557587743</c:v>
                </c:pt>
                <c:pt idx="124">
                  <c:v>43.155339805825243</c:v>
                </c:pt>
                <c:pt idx="125">
                  <c:v>40.560640732265448</c:v>
                </c:pt>
                <c:pt idx="126">
                  <c:v>36.066288704753596</c:v>
                </c:pt>
                <c:pt idx="127">
                  <c:v>33.364140480591495</c:v>
                </c:pt>
                <c:pt idx="128">
                  <c:v>35.832913940613992</c:v>
                </c:pt>
                <c:pt idx="129">
                  <c:v>41.194486983154668</c:v>
                </c:pt>
                <c:pt idx="130">
                  <c:v>70.199587061252586</c:v>
                </c:pt>
                <c:pt idx="131">
                  <c:v>31.971465629053178</c:v>
                </c:pt>
                <c:pt idx="132">
                  <c:v>34.171195652173914</c:v>
                </c:pt>
                <c:pt idx="133">
                  <c:v>33.630748112560056</c:v>
                </c:pt>
                <c:pt idx="134">
                  <c:v>28.648648648648649</c:v>
                </c:pt>
                <c:pt idx="135">
                  <c:v>41.429924242424242</c:v>
                </c:pt>
                <c:pt idx="136">
                  <c:v>55.265700483091784</c:v>
                </c:pt>
                <c:pt idx="137">
                  <c:v>50.684210526315788</c:v>
                </c:pt>
                <c:pt idx="138">
                  <c:v>36.419213973799124</c:v>
                </c:pt>
                <c:pt idx="139">
                  <c:v>34.091943559399184</c:v>
                </c:pt>
                <c:pt idx="140">
                  <c:v>69.944444444444443</c:v>
                </c:pt>
                <c:pt idx="141">
                  <c:v>31.717451523545705</c:v>
                </c:pt>
                <c:pt idx="142">
                  <c:v>40.26290165530672</c:v>
                </c:pt>
                <c:pt idx="143">
                  <c:v>36.320531057373159</c:v>
                </c:pt>
                <c:pt idx="144">
                  <c:v>30.732484076433121</c:v>
                </c:pt>
                <c:pt idx="145">
                  <c:v>36.871069182389938</c:v>
                </c:pt>
                <c:pt idx="146">
                  <c:v>35.288367546432063</c:v>
                </c:pt>
                <c:pt idx="147">
                  <c:v>34.275248560962844</c:v>
                </c:pt>
                <c:pt idx="148">
                  <c:v>38.125802310654684</c:v>
                </c:pt>
                <c:pt idx="149">
                  <c:v>40.316742081447963</c:v>
                </c:pt>
                <c:pt idx="150">
                  <c:v>28.046934140802421</c:v>
                </c:pt>
                <c:pt idx="151">
                  <c:v>28.618602091359385</c:v>
                </c:pt>
                <c:pt idx="152">
                  <c:v>32.336255801959773</c:v>
                </c:pt>
                <c:pt idx="153">
                  <c:v>24.444444444444443</c:v>
                </c:pt>
                <c:pt idx="154">
                  <c:v>28.752735229759299</c:v>
                </c:pt>
                <c:pt idx="155">
                  <c:v>26.303410427283417</c:v>
                </c:pt>
                <c:pt idx="156">
                  <c:v>32.887700534759361</c:v>
                </c:pt>
                <c:pt idx="157">
                  <c:v>53.324468085106382</c:v>
                </c:pt>
                <c:pt idx="158">
                  <c:v>50.189155107187894</c:v>
                </c:pt>
                <c:pt idx="159">
                  <c:v>32.23570190641248</c:v>
                </c:pt>
                <c:pt idx="160">
                  <c:v>44.567219152854513</c:v>
                </c:pt>
                <c:pt idx="161">
                  <c:v>26.778385772913818</c:v>
                </c:pt>
                <c:pt idx="162">
                  <c:v>26.083707025411062</c:v>
                </c:pt>
                <c:pt idx="163">
                  <c:v>26.590330788804071</c:v>
                </c:pt>
                <c:pt idx="164">
                  <c:v>29.204339963833636</c:v>
                </c:pt>
                <c:pt idx="165">
                  <c:v>26.91194708557255</c:v>
                </c:pt>
                <c:pt idx="166">
                  <c:v>22.96983758700696</c:v>
                </c:pt>
                <c:pt idx="167">
                  <c:v>24.077999152183128</c:v>
                </c:pt>
                <c:pt idx="168">
                  <c:v>24.746450304259636</c:v>
                </c:pt>
                <c:pt idx="169">
                  <c:v>16.688918558077436</c:v>
                </c:pt>
                <c:pt idx="170">
                  <c:v>20.803604956815622</c:v>
                </c:pt>
                <c:pt idx="171">
                  <c:v>42.521534847298355</c:v>
                </c:pt>
                <c:pt idx="172">
                  <c:v>34.256694367497694</c:v>
                </c:pt>
                <c:pt idx="173">
                  <c:v>31.412337662337663</c:v>
                </c:pt>
                <c:pt idx="174">
                  <c:v>37.596899224806201</c:v>
                </c:pt>
                <c:pt idx="175">
                  <c:v>37.201166180758015</c:v>
                </c:pt>
                <c:pt idx="176">
                  <c:v>49.561146869514339</c:v>
                </c:pt>
                <c:pt idx="177">
                  <c:v>62.228594838181074</c:v>
                </c:pt>
                <c:pt idx="178">
                  <c:v>31.506090808416388</c:v>
                </c:pt>
                <c:pt idx="179">
                  <c:v>42.149390243902438</c:v>
                </c:pt>
                <c:pt idx="180">
                  <c:v>42.400482509047045</c:v>
                </c:pt>
                <c:pt idx="181">
                  <c:v>26.266416510318951</c:v>
                </c:pt>
              </c:numCache>
            </c:numRef>
          </c:xVal>
          <c:yVal>
            <c:numRef>
              <c:f>'Дума одномандатный'!$AH$2:$AH$183</c:f>
              <c:numCache>
                <c:formatCode>0.0</c:formatCode>
                <c:ptCount val="182"/>
                <c:pt idx="0">
                  <c:v>45.62982005141388</c:v>
                </c:pt>
                <c:pt idx="1">
                  <c:v>53.277835587929239</c:v>
                </c:pt>
                <c:pt idx="2">
                  <c:v>74.491682070240302</c:v>
                </c:pt>
                <c:pt idx="3">
                  <c:v>55.802047781569968</c:v>
                </c:pt>
                <c:pt idx="4">
                  <c:v>37.405405405405403</c:v>
                </c:pt>
                <c:pt idx="5">
                  <c:v>48.293172690763051</c:v>
                </c:pt>
                <c:pt idx="6">
                  <c:v>49.729241877256321</c:v>
                </c:pt>
                <c:pt idx="7">
                  <c:v>61.532447224394055</c:v>
                </c:pt>
                <c:pt idx="8">
                  <c:v>61.699258260283209</c:v>
                </c:pt>
                <c:pt idx="9">
                  <c:v>33.71824480369515</c:v>
                </c:pt>
                <c:pt idx="10">
                  <c:v>22.010398613518198</c:v>
                </c:pt>
                <c:pt idx="11">
                  <c:v>68.59375</c:v>
                </c:pt>
                <c:pt idx="12">
                  <c:v>36.614853195164073</c:v>
                </c:pt>
                <c:pt idx="13">
                  <c:v>39.595719381688468</c:v>
                </c:pt>
                <c:pt idx="14">
                  <c:v>45.904436860068259</c:v>
                </c:pt>
                <c:pt idx="15">
                  <c:v>29.087779690189329</c:v>
                </c:pt>
                <c:pt idx="16">
                  <c:v>35.714285714285715</c:v>
                </c:pt>
                <c:pt idx="17">
                  <c:v>22.613065326633166</c:v>
                </c:pt>
                <c:pt idx="18">
                  <c:v>45.357142857142854</c:v>
                </c:pt>
                <c:pt idx="19">
                  <c:v>28.040201005025125</c:v>
                </c:pt>
                <c:pt idx="20">
                  <c:v>29.350104821802937</c:v>
                </c:pt>
                <c:pt idx="21">
                  <c:v>51.959798994974875</c:v>
                </c:pt>
                <c:pt idx="22">
                  <c:v>24.250681198910083</c:v>
                </c:pt>
                <c:pt idx="23">
                  <c:v>29.086229086229086</c:v>
                </c:pt>
                <c:pt idx="24">
                  <c:v>33.333333333333336</c:v>
                </c:pt>
                <c:pt idx="25">
                  <c:v>32.107843137254903</c:v>
                </c:pt>
                <c:pt idx="26">
                  <c:v>39.624608967674661</c:v>
                </c:pt>
                <c:pt idx="27">
                  <c:v>39.879759519038075</c:v>
                </c:pt>
                <c:pt idx="28">
                  <c:v>45.176252319109459</c:v>
                </c:pt>
                <c:pt idx="29">
                  <c:v>33.388429752066116</c:v>
                </c:pt>
                <c:pt idx="30">
                  <c:v>30.818965517241381</c:v>
                </c:pt>
                <c:pt idx="31">
                  <c:v>29.940119760479043</c:v>
                </c:pt>
                <c:pt idx="32">
                  <c:v>49.079754601226995</c:v>
                </c:pt>
                <c:pt idx="33">
                  <c:v>34.069981583793741</c:v>
                </c:pt>
                <c:pt idx="34">
                  <c:v>64.200477326968979</c:v>
                </c:pt>
                <c:pt idx="35">
                  <c:v>58.640406607369762</c:v>
                </c:pt>
                <c:pt idx="36">
                  <c:v>76.080476900149037</c:v>
                </c:pt>
                <c:pt idx="37">
                  <c:v>54.820936639118457</c:v>
                </c:pt>
                <c:pt idx="38">
                  <c:v>35.158501440922187</c:v>
                </c:pt>
                <c:pt idx="39">
                  <c:v>45.035460992907801</c:v>
                </c:pt>
                <c:pt idx="40">
                  <c:v>30.161054172767205</c:v>
                </c:pt>
                <c:pt idx="41">
                  <c:v>25.581395348837209</c:v>
                </c:pt>
                <c:pt idx="42">
                  <c:v>21.521739130434781</c:v>
                </c:pt>
                <c:pt idx="43">
                  <c:v>22.65122265122265</c:v>
                </c:pt>
                <c:pt idx="44">
                  <c:v>69.86899563318778</c:v>
                </c:pt>
                <c:pt idx="45">
                  <c:v>81.818181818181813</c:v>
                </c:pt>
                <c:pt idx="46">
                  <c:v>50.176678445229683</c:v>
                </c:pt>
                <c:pt idx="47">
                  <c:v>29.680365296803654</c:v>
                </c:pt>
                <c:pt idx="48">
                  <c:v>37.150837988826815</c:v>
                </c:pt>
                <c:pt idx="49">
                  <c:v>45.253682487725044</c:v>
                </c:pt>
                <c:pt idx="50">
                  <c:v>40.38961038961039</c:v>
                </c:pt>
                <c:pt idx="51">
                  <c:v>29.29936305732484</c:v>
                </c:pt>
                <c:pt idx="52">
                  <c:v>27.653631284916202</c:v>
                </c:pt>
                <c:pt idx="53">
                  <c:v>43.552311435523116</c:v>
                </c:pt>
                <c:pt idx="54">
                  <c:v>31.893687707641195</c:v>
                </c:pt>
                <c:pt idx="55">
                  <c:v>27.607361963190183</c:v>
                </c:pt>
                <c:pt idx="56">
                  <c:v>38.998482549317146</c:v>
                </c:pt>
                <c:pt idx="57">
                  <c:v>27.311370882040382</c:v>
                </c:pt>
                <c:pt idx="58">
                  <c:v>37.218045112781958</c:v>
                </c:pt>
                <c:pt idx="59">
                  <c:v>31.433998100664766</c:v>
                </c:pt>
                <c:pt idx="60">
                  <c:v>30.342577487765091</c:v>
                </c:pt>
                <c:pt idx="61">
                  <c:v>57.228195937873359</c:v>
                </c:pt>
                <c:pt idx="62">
                  <c:v>20.262664165103189</c:v>
                </c:pt>
                <c:pt idx="63">
                  <c:v>23.837209302325583</c:v>
                </c:pt>
                <c:pt idx="64">
                  <c:v>25</c:v>
                </c:pt>
                <c:pt idx="65">
                  <c:v>44.644045242847639</c:v>
                </c:pt>
                <c:pt idx="66">
                  <c:v>43.073593073593074</c:v>
                </c:pt>
                <c:pt idx="67">
                  <c:v>44.347826086956523</c:v>
                </c:pt>
                <c:pt idx="68">
                  <c:v>30.149597238204834</c:v>
                </c:pt>
                <c:pt idx="69">
                  <c:v>32.768924302788847</c:v>
                </c:pt>
                <c:pt idx="70">
                  <c:v>34.945054945054942</c:v>
                </c:pt>
                <c:pt idx="71">
                  <c:v>28.936170212765958</c:v>
                </c:pt>
                <c:pt idx="72">
                  <c:v>31.166666666666668</c:v>
                </c:pt>
                <c:pt idx="73">
                  <c:v>24.371859296482413</c:v>
                </c:pt>
                <c:pt idx="74">
                  <c:v>21.365638766519822</c:v>
                </c:pt>
                <c:pt idx="75">
                  <c:v>55.718475073313783</c:v>
                </c:pt>
                <c:pt idx="76">
                  <c:v>45.593525179856115</c:v>
                </c:pt>
                <c:pt idx="77">
                  <c:v>51.132686084142392</c:v>
                </c:pt>
                <c:pt idx="78">
                  <c:v>44.760672703751617</c:v>
                </c:pt>
                <c:pt idx="79">
                  <c:v>42.508710801393725</c:v>
                </c:pt>
                <c:pt idx="80">
                  <c:v>34.860050890585242</c:v>
                </c:pt>
                <c:pt idx="81">
                  <c:v>26.421404682274247</c:v>
                </c:pt>
                <c:pt idx="82">
                  <c:v>27.193932827735644</c:v>
                </c:pt>
                <c:pt idx="83">
                  <c:v>24.577226606538897</c:v>
                </c:pt>
                <c:pt idx="84">
                  <c:v>31.213872832369944</c:v>
                </c:pt>
                <c:pt idx="85">
                  <c:v>29.142011834319526</c:v>
                </c:pt>
                <c:pt idx="86">
                  <c:v>28.989751098096633</c:v>
                </c:pt>
                <c:pt idx="87">
                  <c:v>35.792778649921509</c:v>
                </c:pt>
                <c:pt idx="88">
                  <c:v>31.871345029239766</c:v>
                </c:pt>
                <c:pt idx="89">
                  <c:v>47.350230414746541</c:v>
                </c:pt>
                <c:pt idx="90">
                  <c:v>49.787234042553195</c:v>
                </c:pt>
                <c:pt idx="91">
                  <c:v>44.589774078478001</c:v>
                </c:pt>
                <c:pt idx="92">
                  <c:v>56.78670360110803</c:v>
                </c:pt>
                <c:pt idx="93">
                  <c:v>66.145833333333329</c:v>
                </c:pt>
                <c:pt idx="94">
                  <c:v>53.503184713375795</c:v>
                </c:pt>
                <c:pt idx="95">
                  <c:v>36.81318681318681</c:v>
                </c:pt>
                <c:pt idx="96">
                  <c:v>67.967145790554412</c:v>
                </c:pt>
                <c:pt idx="97">
                  <c:v>37.511032656663723</c:v>
                </c:pt>
                <c:pt idx="98">
                  <c:v>58.548585485854858</c:v>
                </c:pt>
                <c:pt idx="99">
                  <c:v>23.337363966142686</c:v>
                </c:pt>
                <c:pt idx="100">
                  <c:v>27.334235453315291</c:v>
                </c:pt>
                <c:pt idx="101">
                  <c:v>35.050675675675677</c:v>
                </c:pt>
                <c:pt idx="102">
                  <c:v>45.811051693404636</c:v>
                </c:pt>
                <c:pt idx="103">
                  <c:v>87.5</c:v>
                </c:pt>
                <c:pt idx="104">
                  <c:v>36.666666666666664</c:v>
                </c:pt>
                <c:pt idx="105">
                  <c:v>36.815286624203821</c:v>
                </c:pt>
                <c:pt idx="106">
                  <c:v>29.048843187660669</c:v>
                </c:pt>
                <c:pt idx="107">
                  <c:v>26.555023923444978</c:v>
                </c:pt>
                <c:pt idx="108">
                  <c:v>36.852207293666027</c:v>
                </c:pt>
                <c:pt idx="109">
                  <c:v>28.451882845188283</c:v>
                </c:pt>
                <c:pt idx="110">
                  <c:v>33.969986357435197</c:v>
                </c:pt>
                <c:pt idx="111">
                  <c:v>32.264736297828335</c:v>
                </c:pt>
                <c:pt idx="112">
                  <c:v>23.319327731092436</c:v>
                </c:pt>
                <c:pt idx="113">
                  <c:v>46.153846153846153</c:v>
                </c:pt>
                <c:pt idx="114">
                  <c:v>34.193548387096776</c:v>
                </c:pt>
                <c:pt idx="115">
                  <c:v>27</c:v>
                </c:pt>
                <c:pt idx="116">
                  <c:v>41.104294478527606</c:v>
                </c:pt>
                <c:pt idx="117">
                  <c:v>27.572559366754618</c:v>
                </c:pt>
                <c:pt idx="118">
                  <c:v>0</c:v>
                </c:pt>
                <c:pt idx="119">
                  <c:v>30.883813306852037</c:v>
                </c:pt>
                <c:pt idx="120">
                  <c:v>25.552486187845304</c:v>
                </c:pt>
                <c:pt idx="121">
                  <c:v>49.11392405063291</c:v>
                </c:pt>
                <c:pt idx="122">
                  <c:v>35.522388059701491</c:v>
                </c:pt>
                <c:pt idx="123">
                  <c:v>27.916666666666668</c:v>
                </c:pt>
                <c:pt idx="124">
                  <c:v>33.785450061652284</c:v>
                </c:pt>
                <c:pt idx="125">
                  <c:v>33.286318758815234</c:v>
                </c:pt>
                <c:pt idx="126">
                  <c:v>27.327690447400244</c:v>
                </c:pt>
                <c:pt idx="127">
                  <c:v>26.454293628808863</c:v>
                </c:pt>
                <c:pt idx="128">
                  <c:v>23.735955056179776</c:v>
                </c:pt>
                <c:pt idx="129">
                  <c:v>28.810408921933085</c:v>
                </c:pt>
                <c:pt idx="130">
                  <c:v>21.226415094339622</c:v>
                </c:pt>
                <c:pt idx="131">
                  <c:v>19.875776397515526</c:v>
                </c:pt>
                <c:pt idx="132">
                  <c:v>20.079522862823062</c:v>
                </c:pt>
                <c:pt idx="133">
                  <c:v>30.612244897959183</c:v>
                </c:pt>
                <c:pt idx="134">
                  <c:v>20</c:v>
                </c:pt>
                <c:pt idx="135">
                  <c:v>34.4</c:v>
                </c:pt>
                <c:pt idx="136">
                  <c:v>41.78321678321678</c:v>
                </c:pt>
                <c:pt idx="137">
                  <c:v>56.548856548856548</c:v>
                </c:pt>
                <c:pt idx="138">
                  <c:v>24.502487562189053</c:v>
                </c:pt>
                <c:pt idx="139">
                  <c:v>27.041499330655956</c:v>
                </c:pt>
                <c:pt idx="140">
                  <c:v>61.000794281175537</c:v>
                </c:pt>
                <c:pt idx="141">
                  <c:v>23.435225618631733</c:v>
                </c:pt>
                <c:pt idx="142">
                  <c:v>28.484107579462101</c:v>
                </c:pt>
                <c:pt idx="143">
                  <c:v>31.331592689295039</c:v>
                </c:pt>
                <c:pt idx="144">
                  <c:v>22.538860103626941</c:v>
                </c:pt>
                <c:pt idx="145">
                  <c:v>26.865671641791046</c:v>
                </c:pt>
                <c:pt idx="146">
                  <c:v>17.174515235457065</c:v>
                </c:pt>
                <c:pt idx="147">
                  <c:v>26.259541984732824</c:v>
                </c:pt>
                <c:pt idx="148">
                  <c:v>30.665163472378804</c:v>
                </c:pt>
                <c:pt idx="149">
                  <c:v>30.976430976430976</c:v>
                </c:pt>
                <c:pt idx="150">
                  <c:v>29.41970310391363</c:v>
                </c:pt>
                <c:pt idx="151">
                  <c:v>21.772639691714836</c:v>
                </c:pt>
                <c:pt idx="152">
                  <c:v>22.009569377990431</c:v>
                </c:pt>
                <c:pt idx="153">
                  <c:v>26.877470355731226</c:v>
                </c:pt>
                <c:pt idx="154">
                  <c:v>21.004566210045663</c:v>
                </c:pt>
                <c:pt idx="155">
                  <c:v>20.119225037257824</c:v>
                </c:pt>
                <c:pt idx="156">
                  <c:v>17.174796747967481</c:v>
                </c:pt>
                <c:pt idx="157">
                  <c:v>54.5</c:v>
                </c:pt>
                <c:pt idx="158">
                  <c:v>33.85826771653543</c:v>
                </c:pt>
                <c:pt idx="159">
                  <c:v>31.941923774954628</c:v>
                </c:pt>
                <c:pt idx="160">
                  <c:v>58.884297520661157</c:v>
                </c:pt>
                <c:pt idx="161">
                  <c:v>24.9667994687915</c:v>
                </c:pt>
                <c:pt idx="162">
                  <c:v>22.094691535150645</c:v>
                </c:pt>
                <c:pt idx="163">
                  <c:v>23.444976076555022</c:v>
                </c:pt>
                <c:pt idx="164">
                  <c:v>23.065015479876163</c:v>
                </c:pt>
                <c:pt idx="165">
                  <c:v>25.038402457757297</c:v>
                </c:pt>
                <c:pt idx="166">
                  <c:v>25.609756097560975</c:v>
                </c:pt>
                <c:pt idx="167">
                  <c:v>25.840707964601769</c:v>
                </c:pt>
                <c:pt idx="168">
                  <c:v>22.540983606557376</c:v>
                </c:pt>
                <c:pt idx="169">
                  <c:v>25.210084033613445</c:v>
                </c:pt>
                <c:pt idx="170">
                  <c:v>19.314079422382672</c:v>
                </c:pt>
                <c:pt idx="171">
                  <c:v>44.751381215469614</c:v>
                </c:pt>
                <c:pt idx="172">
                  <c:v>47.169811320754718</c:v>
                </c:pt>
                <c:pt idx="173">
                  <c:v>25.839793281653748</c:v>
                </c:pt>
                <c:pt idx="174">
                  <c:v>30.670103092783506</c:v>
                </c:pt>
                <c:pt idx="175">
                  <c:v>41.8848167539267</c:v>
                </c:pt>
                <c:pt idx="176">
                  <c:v>37.190082644628099</c:v>
                </c:pt>
                <c:pt idx="177">
                  <c:v>71.165240289664254</c:v>
                </c:pt>
                <c:pt idx="178">
                  <c:v>42.882249560632687</c:v>
                </c:pt>
                <c:pt idx="179">
                  <c:v>7.5949367088607591</c:v>
                </c:pt>
                <c:pt idx="180">
                  <c:v>6.543385490753912</c:v>
                </c:pt>
                <c:pt idx="181">
                  <c:v>25.714285714285715</c:v>
                </c:pt>
              </c:numCache>
            </c:numRef>
          </c:yVal>
          <c:bubbleSize>
            <c:numRef>
              <c:f>'Дума одномандатный'!$J$2:$J$183</c:f>
              <c:numCache>
                <c:formatCode>General</c:formatCode>
                <c:ptCount val="182"/>
                <c:pt idx="0">
                  <c:v>2451</c:v>
                </c:pt>
                <c:pt idx="1">
                  <c:v>1779</c:v>
                </c:pt>
                <c:pt idx="2">
                  <c:v>1942</c:v>
                </c:pt>
                <c:pt idx="3">
                  <c:v>2100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377</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2224</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981</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176</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2210</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2924</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3-1915-4D2F-A61C-DFA9673AF133}"/>
            </c:ext>
          </c:extLst>
        </c:ser>
        <c:ser>
          <c:idx val="12"/>
          <c:order val="4"/>
          <c:tx>
            <c:strRef>
              <c:f>'Дума одномандатный'!$AJ$1</c:f>
              <c:strCache>
                <c:ptCount val="1"/>
                <c:pt idx="0">
                  <c:v>Пархоменко (ЛДПР)</c:v>
                </c:pt>
              </c:strCache>
            </c:strRef>
          </c:tx>
          <c:spPr>
            <a:solidFill>
              <a:srgbClr val="FF9900">
                <a:alpha val="49804"/>
              </a:srgbClr>
            </a:solidFill>
            <a:ln w="25400">
              <a:noFill/>
            </a:ln>
          </c:spPr>
          <c:invertIfNegative val="0"/>
          <c:xVal>
            <c:numRef>
              <c:f>'Дума одномандатный'!$O$2:$O$183</c:f>
              <c:numCache>
                <c:formatCode>0.0</c:formatCode>
                <c:ptCount val="182"/>
                <c:pt idx="0">
                  <c:v>63.484292125662996</c:v>
                </c:pt>
                <c:pt idx="1">
                  <c:v>54.187745924676783</c:v>
                </c:pt>
                <c:pt idx="2">
                  <c:v>55.818743563336767</c:v>
                </c:pt>
                <c:pt idx="3">
                  <c:v>56</c:v>
                </c:pt>
                <c:pt idx="4">
                  <c:v>49.812130971551262</c:v>
                </c:pt>
                <c:pt idx="5">
                  <c:v>51.432958034800407</c:v>
                </c:pt>
                <c:pt idx="6">
                  <c:v>56.158134820070956</c:v>
                </c:pt>
                <c:pt idx="7">
                  <c:v>71.452328159645234</c:v>
                </c:pt>
                <c:pt idx="8">
                  <c:v>73.707753479125245</c:v>
                </c:pt>
                <c:pt idx="9">
                  <c:v>37.016574585635361</c:v>
                </c:pt>
                <c:pt idx="10">
                  <c:v>25.407309555262</c:v>
                </c:pt>
                <c:pt idx="11">
                  <c:v>72.562358276643991</c:v>
                </c:pt>
                <c:pt idx="12">
                  <c:v>52.684258416742495</c:v>
                </c:pt>
                <c:pt idx="13">
                  <c:v>35.041666666666664</c:v>
                </c:pt>
                <c:pt idx="14">
                  <c:v>48.151191454396056</c:v>
                </c:pt>
                <c:pt idx="15">
                  <c:v>29.507364144235652</c:v>
                </c:pt>
                <c:pt idx="16">
                  <c:v>44.562334217506631</c:v>
                </c:pt>
                <c:pt idx="17">
                  <c:v>32.345876701361092</c:v>
                </c:pt>
                <c:pt idx="18">
                  <c:v>48.951048951048953</c:v>
                </c:pt>
                <c:pt idx="19">
                  <c:v>36.920222634508349</c:v>
                </c:pt>
                <c:pt idx="20">
                  <c:v>26.006528835690968</c:v>
                </c:pt>
                <c:pt idx="21">
                  <c:v>47.85954785954786</c:v>
                </c:pt>
                <c:pt idx="22">
                  <c:v>33.137697516930025</c:v>
                </c:pt>
                <c:pt idx="23">
                  <c:v>37.266187050359711</c:v>
                </c:pt>
                <c:pt idx="24">
                  <c:v>31.379462318201853</c:v>
                </c:pt>
                <c:pt idx="25">
                  <c:v>38.636363636363633</c:v>
                </c:pt>
                <c:pt idx="26">
                  <c:v>47.569444444444443</c:v>
                </c:pt>
                <c:pt idx="27">
                  <c:v>43.30472103004292</c:v>
                </c:pt>
                <c:pt idx="28">
                  <c:v>48.960216998191683</c:v>
                </c:pt>
                <c:pt idx="29">
                  <c:v>34.414106939704212</c:v>
                </c:pt>
                <c:pt idx="30">
                  <c:v>41.391614629794823</c:v>
                </c:pt>
                <c:pt idx="31">
                  <c:v>30.035971223021583</c:v>
                </c:pt>
                <c:pt idx="32">
                  <c:v>37.808641975308639</c:v>
                </c:pt>
                <c:pt idx="33">
                  <c:v>95.27145359019265</c:v>
                </c:pt>
                <c:pt idx="34">
                  <c:v>43.419689119170982</c:v>
                </c:pt>
                <c:pt idx="35">
                  <c:v>59.961904761904762</c:v>
                </c:pt>
                <c:pt idx="36">
                  <c:v>80.892103676913806</c:v>
                </c:pt>
                <c:pt idx="37">
                  <c:v>37.891440501043839</c:v>
                </c:pt>
                <c:pt idx="38">
                  <c:v>40.490081680280049</c:v>
                </c:pt>
                <c:pt idx="39">
                  <c:v>40.014164305949009</c:v>
                </c:pt>
                <c:pt idx="40">
                  <c:v>35.019646365422396</c:v>
                </c:pt>
                <c:pt idx="41">
                  <c:v>30.76923076923077</c:v>
                </c:pt>
                <c:pt idx="42">
                  <c:v>34.175334323922733</c:v>
                </c:pt>
                <c:pt idx="43">
                  <c:v>34.108527131782942</c:v>
                </c:pt>
                <c:pt idx="44">
                  <c:v>66.542133665421332</c:v>
                </c:pt>
                <c:pt idx="45">
                  <c:v>77.573904179408771</c:v>
                </c:pt>
                <c:pt idx="46">
                  <c:v>64.759725400457668</c:v>
                </c:pt>
                <c:pt idx="47">
                  <c:v>40.934579439252339</c:v>
                </c:pt>
                <c:pt idx="48">
                  <c:v>46.253229974160206</c:v>
                </c:pt>
                <c:pt idx="49">
                  <c:v>54.984354045596781</c:v>
                </c:pt>
                <c:pt idx="50">
                  <c:v>40.935672514619881</c:v>
                </c:pt>
                <c:pt idx="51">
                  <c:v>37.672465506898618</c:v>
                </c:pt>
                <c:pt idx="52">
                  <c:v>42.771804062126641</c:v>
                </c:pt>
                <c:pt idx="53">
                  <c:v>78.285714285714292</c:v>
                </c:pt>
                <c:pt idx="54">
                  <c:v>33.782267115600447</c:v>
                </c:pt>
                <c:pt idx="55">
                  <c:v>33.562113932738505</c:v>
                </c:pt>
                <c:pt idx="56">
                  <c:v>43.99198931909212</c:v>
                </c:pt>
                <c:pt idx="57">
                  <c:v>35.322822822822822</c:v>
                </c:pt>
                <c:pt idx="58">
                  <c:v>28.550983899821109</c:v>
                </c:pt>
                <c:pt idx="59">
                  <c:v>40.453323088743758</c:v>
                </c:pt>
                <c:pt idx="60">
                  <c:v>38.582677165354333</c:v>
                </c:pt>
                <c:pt idx="61">
                  <c:v>44.122298365840798</c:v>
                </c:pt>
                <c:pt idx="62">
                  <c:v>26.386138613861387</c:v>
                </c:pt>
                <c:pt idx="63">
                  <c:v>26.959247648902821</c:v>
                </c:pt>
                <c:pt idx="64">
                  <c:v>29.1156462585034</c:v>
                </c:pt>
                <c:pt idx="65">
                  <c:v>57.634902411021812</c:v>
                </c:pt>
                <c:pt idx="66">
                  <c:v>64.978902953586498</c:v>
                </c:pt>
                <c:pt idx="67">
                  <c:v>51.035502958579883</c:v>
                </c:pt>
                <c:pt idx="68">
                  <c:v>46.972972972972975</c:v>
                </c:pt>
                <c:pt idx="69">
                  <c:v>52.648138437336129</c:v>
                </c:pt>
                <c:pt idx="70">
                  <c:v>36.752827140549272</c:v>
                </c:pt>
                <c:pt idx="71">
                  <c:v>41.978609625668447</c:v>
                </c:pt>
                <c:pt idx="72">
                  <c:v>40.397350993377486</c:v>
                </c:pt>
                <c:pt idx="73">
                  <c:v>22.40990990990991</c:v>
                </c:pt>
                <c:pt idx="74">
                  <c:v>34.809160305343511</c:v>
                </c:pt>
                <c:pt idx="75">
                  <c:v>51.278195488721806</c:v>
                </c:pt>
                <c:pt idx="76">
                  <c:v>54.563297350343476</c:v>
                </c:pt>
                <c:pt idx="77">
                  <c:v>60.084033613445378</c:v>
                </c:pt>
                <c:pt idx="78">
                  <c:v>50.821827744904667</c:v>
                </c:pt>
                <c:pt idx="79">
                  <c:v>40.422535211267608</c:v>
                </c:pt>
                <c:pt idx="80">
                  <c:v>51.540983606557376</c:v>
                </c:pt>
                <c:pt idx="81">
                  <c:v>40.625</c:v>
                </c:pt>
                <c:pt idx="82">
                  <c:v>47.904811174340402</c:v>
                </c:pt>
                <c:pt idx="83">
                  <c:v>43.352883675464319</c:v>
                </c:pt>
                <c:pt idx="84">
                  <c:v>40.621336459554513</c:v>
                </c:pt>
                <c:pt idx="85">
                  <c:v>39.648093841642229</c:v>
                </c:pt>
                <c:pt idx="86">
                  <c:v>44.669718770438195</c:v>
                </c:pt>
                <c:pt idx="87">
                  <c:v>35.388888888888886</c:v>
                </c:pt>
                <c:pt idx="88">
                  <c:v>35.514018691588788</c:v>
                </c:pt>
                <c:pt idx="89">
                  <c:v>44.083291010665313</c:v>
                </c:pt>
                <c:pt idx="90">
                  <c:v>49.188906331763476</c:v>
                </c:pt>
                <c:pt idx="91">
                  <c:v>51.062537947783852</c:v>
                </c:pt>
                <c:pt idx="92">
                  <c:v>54.863221884498479</c:v>
                </c:pt>
                <c:pt idx="93">
                  <c:v>63.973344439816742</c:v>
                </c:pt>
                <c:pt idx="94">
                  <c:v>66.090611863615138</c:v>
                </c:pt>
                <c:pt idx="95">
                  <c:v>64.959349593495929</c:v>
                </c:pt>
                <c:pt idx="96">
                  <c:v>53.224043715846996</c:v>
                </c:pt>
                <c:pt idx="97">
                  <c:v>47.465437788018434</c:v>
                </c:pt>
                <c:pt idx="98">
                  <c:v>52.964169381107489</c:v>
                </c:pt>
                <c:pt idx="99">
                  <c:v>31.266540642722116</c:v>
                </c:pt>
                <c:pt idx="100">
                  <c:v>36.172295643661279</c:v>
                </c:pt>
                <c:pt idx="101">
                  <c:v>55.275443510737631</c:v>
                </c:pt>
                <c:pt idx="102">
                  <c:v>56.983805668016196</c:v>
                </c:pt>
                <c:pt idx="103">
                  <c:v>100</c:v>
                </c:pt>
                <c:pt idx="104">
                  <c:v>90.865384615384613</c:v>
                </c:pt>
                <c:pt idx="105">
                  <c:v>45.037292025243829</c:v>
                </c:pt>
                <c:pt idx="106">
                  <c:v>34.424778761061944</c:v>
                </c:pt>
                <c:pt idx="107">
                  <c:v>36.03448275862069</c:v>
                </c:pt>
                <c:pt idx="108">
                  <c:v>40.813135261923378</c:v>
                </c:pt>
                <c:pt idx="109">
                  <c:v>37.786561264822133</c:v>
                </c:pt>
                <c:pt idx="110">
                  <c:v>42.10526315789474</c:v>
                </c:pt>
                <c:pt idx="111">
                  <c:v>39.198131568703779</c:v>
                </c:pt>
                <c:pt idx="112">
                  <c:v>39.279869067103107</c:v>
                </c:pt>
                <c:pt idx="113">
                  <c:v>42.108890420399725</c:v>
                </c:pt>
                <c:pt idx="114">
                  <c:v>38.65336658354115</c:v>
                </c:pt>
                <c:pt idx="115">
                  <c:v>35.413899955732624</c:v>
                </c:pt>
                <c:pt idx="116">
                  <c:v>44.002151694459386</c:v>
                </c:pt>
                <c:pt idx="117">
                  <c:v>36.372360844529751</c:v>
                </c:pt>
                <c:pt idx="118">
                  <c:v>0</c:v>
                </c:pt>
                <c:pt idx="119">
                  <c:v>41.481481481481481</c:v>
                </c:pt>
                <c:pt idx="120">
                  <c:v>32.568600989653618</c:v>
                </c:pt>
                <c:pt idx="121">
                  <c:v>51.320918146383718</c:v>
                </c:pt>
                <c:pt idx="122">
                  <c:v>33.550325488232346</c:v>
                </c:pt>
                <c:pt idx="123">
                  <c:v>35.837864557587743</c:v>
                </c:pt>
                <c:pt idx="124">
                  <c:v>43.155339805825243</c:v>
                </c:pt>
                <c:pt idx="125">
                  <c:v>40.560640732265448</c:v>
                </c:pt>
                <c:pt idx="126">
                  <c:v>36.066288704753596</c:v>
                </c:pt>
                <c:pt idx="127">
                  <c:v>33.364140480591495</c:v>
                </c:pt>
                <c:pt idx="128">
                  <c:v>35.832913940613992</c:v>
                </c:pt>
                <c:pt idx="129">
                  <c:v>41.194486983154668</c:v>
                </c:pt>
                <c:pt idx="130">
                  <c:v>70.199587061252586</c:v>
                </c:pt>
                <c:pt idx="131">
                  <c:v>31.971465629053178</c:v>
                </c:pt>
                <c:pt idx="132">
                  <c:v>34.171195652173914</c:v>
                </c:pt>
                <c:pt idx="133">
                  <c:v>33.630748112560056</c:v>
                </c:pt>
                <c:pt idx="134">
                  <c:v>28.648648648648649</c:v>
                </c:pt>
                <c:pt idx="135">
                  <c:v>41.429924242424242</c:v>
                </c:pt>
                <c:pt idx="136">
                  <c:v>55.265700483091784</c:v>
                </c:pt>
                <c:pt idx="137">
                  <c:v>50.684210526315788</c:v>
                </c:pt>
                <c:pt idx="138">
                  <c:v>36.419213973799124</c:v>
                </c:pt>
                <c:pt idx="139">
                  <c:v>34.091943559399184</c:v>
                </c:pt>
                <c:pt idx="140">
                  <c:v>69.944444444444443</c:v>
                </c:pt>
                <c:pt idx="141">
                  <c:v>31.717451523545705</c:v>
                </c:pt>
                <c:pt idx="142">
                  <c:v>40.26290165530672</c:v>
                </c:pt>
                <c:pt idx="143">
                  <c:v>36.320531057373159</c:v>
                </c:pt>
                <c:pt idx="144">
                  <c:v>30.732484076433121</c:v>
                </c:pt>
                <c:pt idx="145">
                  <c:v>36.871069182389938</c:v>
                </c:pt>
                <c:pt idx="146">
                  <c:v>35.288367546432063</c:v>
                </c:pt>
                <c:pt idx="147">
                  <c:v>34.275248560962844</c:v>
                </c:pt>
                <c:pt idx="148">
                  <c:v>38.125802310654684</c:v>
                </c:pt>
                <c:pt idx="149">
                  <c:v>40.316742081447963</c:v>
                </c:pt>
                <c:pt idx="150">
                  <c:v>28.046934140802421</c:v>
                </c:pt>
                <c:pt idx="151">
                  <c:v>28.618602091359385</c:v>
                </c:pt>
                <c:pt idx="152">
                  <c:v>32.336255801959773</c:v>
                </c:pt>
                <c:pt idx="153">
                  <c:v>24.444444444444443</c:v>
                </c:pt>
                <c:pt idx="154">
                  <c:v>28.752735229759299</c:v>
                </c:pt>
                <c:pt idx="155">
                  <c:v>26.303410427283417</c:v>
                </c:pt>
                <c:pt idx="156">
                  <c:v>32.887700534759361</c:v>
                </c:pt>
                <c:pt idx="157">
                  <c:v>53.324468085106382</c:v>
                </c:pt>
                <c:pt idx="158">
                  <c:v>50.189155107187894</c:v>
                </c:pt>
                <c:pt idx="159">
                  <c:v>32.23570190641248</c:v>
                </c:pt>
                <c:pt idx="160">
                  <c:v>44.567219152854513</c:v>
                </c:pt>
                <c:pt idx="161">
                  <c:v>26.778385772913818</c:v>
                </c:pt>
                <c:pt idx="162">
                  <c:v>26.083707025411062</c:v>
                </c:pt>
                <c:pt idx="163">
                  <c:v>26.590330788804071</c:v>
                </c:pt>
                <c:pt idx="164">
                  <c:v>29.204339963833636</c:v>
                </c:pt>
                <c:pt idx="165">
                  <c:v>26.91194708557255</c:v>
                </c:pt>
                <c:pt idx="166">
                  <c:v>22.96983758700696</c:v>
                </c:pt>
                <c:pt idx="167">
                  <c:v>24.077999152183128</c:v>
                </c:pt>
                <c:pt idx="168">
                  <c:v>24.746450304259636</c:v>
                </c:pt>
                <c:pt idx="169">
                  <c:v>16.688918558077436</c:v>
                </c:pt>
                <c:pt idx="170">
                  <c:v>20.803604956815622</c:v>
                </c:pt>
                <c:pt idx="171">
                  <c:v>42.521534847298355</c:v>
                </c:pt>
                <c:pt idx="172">
                  <c:v>34.256694367497694</c:v>
                </c:pt>
                <c:pt idx="173">
                  <c:v>31.412337662337663</c:v>
                </c:pt>
                <c:pt idx="174">
                  <c:v>37.596899224806201</c:v>
                </c:pt>
                <c:pt idx="175">
                  <c:v>37.201166180758015</c:v>
                </c:pt>
                <c:pt idx="176">
                  <c:v>49.561146869514339</c:v>
                </c:pt>
                <c:pt idx="177">
                  <c:v>62.228594838181074</c:v>
                </c:pt>
                <c:pt idx="178">
                  <c:v>31.506090808416388</c:v>
                </c:pt>
                <c:pt idx="179">
                  <c:v>42.149390243902438</c:v>
                </c:pt>
                <c:pt idx="180">
                  <c:v>42.400482509047045</c:v>
                </c:pt>
                <c:pt idx="181">
                  <c:v>26.266416510318951</c:v>
                </c:pt>
              </c:numCache>
            </c:numRef>
          </c:xVal>
          <c:yVal>
            <c:numRef>
              <c:f>'Дума одномандатный'!$AJ$2:$AJ$183</c:f>
              <c:numCache>
                <c:formatCode>0.0</c:formatCode>
                <c:ptCount val="182"/>
                <c:pt idx="0">
                  <c:v>4.7557840616966578</c:v>
                </c:pt>
                <c:pt idx="1">
                  <c:v>3.121748178980229</c:v>
                </c:pt>
                <c:pt idx="2">
                  <c:v>2.310536044362292</c:v>
                </c:pt>
                <c:pt idx="3">
                  <c:v>3.4129692832764507</c:v>
                </c:pt>
                <c:pt idx="4">
                  <c:v>4.756756756756757</c:v>
                </c:pt>
                <c:pt idx="5">
                  <c:v>5.5220883534136549</c:v>
                </c:pt>
                <c:pt idx="6">
                  <c:v>6.859205776173285</c:v>
                </c:pt>
                <c:pt idx="7">
                  <c:v>2.8146989835809224</c:v>
                </c:pt>
                <c:pt idx="8">
                  <c:v>3.304113283884019</c:v>
                </c:pt>
                <c:pt idx="9">
                  <c:v>5.6581986143187066</c:v>
                </c:pt>
                <c:pt idx="10">
                  <c:v>5.5459272097053729</c:v>
                </c:pt>
                <c:pt idx="11">
                  <c:v>3.28125</c:v>
                </c:pt>
                <c:pt idx="12">
                  <c:v>6.2176165803108807</c:v>
                </c:pt>
                <c:pt idx="13">
                  <c:v>5.4696789536266346</c:v>
                </c:pt>
                <c:pt idx="14">
                  <c:v>3.2423208191126278</c:v>
                </c:pt>
                <c:pt idx="15">
                  <c:v>6.540447504302926</c:v>
                </c:pt>
                <c:pt idx="16">
                  <c:v>9.5238095238095237</c:v>
                </c:pt>
                <c:pt idx="17">
                  <c:v>6.5326633165829149</c:v>
                </c:pt>
                <c:pt idx="18">
                  <c:v>4.8809523809523814</c:v>
                </c:pt>
                <c:pt idx="19">
                  <c:v>7.8391959798994977</c:v>
                </c:pt>
                <c:pt idx="20">
                  <c:v>6.4989517819706499</c:v>
                </c:pt>
                <c:pt idx="21">
                  <c:v>3.7185929648241207</c:v>
                </c:pt>
                <c:pt idx="22">
                  <c:v>7.2207084468664853</c:v>
                </c:pt>
                <c:pt idx="23">
                  <c:v>6.0489060489060487</c:v>
                </c:pt>
                <c:pt idx="24">
                  <c:v>6.7510548523206753</c:v>
                </c:pt>
                <c:pt idx="25">
                  <c:v>4.6568627450980395</c:v>
                </c:pt>
                <c:pt idx="26">
                  <c:v>7.4035453597497396</c:v>
                </c:pt>
                <c:pt idx="27">
                  <c:v>7.5150300601202407</c:v>
                </c:pt>
                <c:pt idx="28">
                  <c:v>5.287569573283859</c:v>
                </c:pt>
                <c:pt idx="29">
                  <c:v>5.1239669421487601</c:v>
                </c:pt>
                <c:pt idx="30">
                  <c:v>7.3275862068965516</c:v>
                </c:pt>
                <c:pt idx="31">
                  <c:v>6.88622754491018</c:v>
                </c:pt>
                <c:pt idx="32">
                  <c:v>5.3169734151329244</c:v>
                </c:pt>
                <c:pt idx="33">
                  <c:v>8.4714548802946599</c:v>
                </c:pt>
                <c:pt idx="34">
                  <c:v>2.8639618138424821</c:v>
                </c:pt>
                <c:pt idx="35">
                  <c:v>4.1931385006353237</c:v>
                </c:pt>
                <c:pt idx="36">
                  <c:v>0</c:v>
                </c:pt>
                <c:pt idx="37">
                  <c:v>3.168044077134986</c:v>
                </c:pt>
                <c:pt idx="38">
                  <c:v>4.0345821325648412</c:v>
                </c:pt>
                <c:pt idx="39">
                  <c:v>6.3829787234042552</c:v>
                </c:pt>
                <c:pt idx="40">
                  <c:v>8.1991215226939964</c:v>
                </c:pt>
                <c:pt idx="41">
                  <c:v>7.558139534883721</c:v>
                </c:pt>
                <c:pt idx="42">
                  <c:v>6.1956521739130439</c:v>
                </c:pt>
                <c:pt idx="43">
                  <c:v>6.1776061776061777</c:v>
                </c:pt>
                <c:pt idx="44">
                  <c:v>2.3081721771678105</c:v>
                </c:pt>
                <c:pt idx="45">
                  <c:v>2.8985507246376812</c:v>
                </c:pt>
                <c:pt idx="46">
                  <c:v>5.3003533568904597</c:v>
                </c:pt>
                <c:pt idx="47">
                  <c:v>9.5890410958904102</c:v>
                </c:pt>
                <c:pt idx="48">
                  <c:v>7.8212290502793298</c:v>
                </c:pt>
                <c:pt idx="49">
                  <c:v>5.5646481178396074</c:v>
                </c:pt>
                <c:pt idx="50">
                  <c:v>7.9220779220779223</c:v>
                </c:pt>
                <c:pt idx="51">
                  <c:v>8.9171974522292992</c:v>
                </c:pt>
                <c:pt idx="52">
                  <c:v>7.8212290502793298</c:v>
                </c:pt>
                <c:pt idx="53">
                  <c:v>4.8661800486618008</c:v>
                </c:pt>
                <c:pt idx="54">
                  <c:v>5.8139534883720927</c:v>
                </c:pt>
                <c:pt idx="55">
                  <c:v>5.5214723926380369</c:v>
                </c:pt>
                <c:pt idx="56">
                  <c:v>4.5523520485584221</c:v>
                </c:pt>
                <c:pt idx="57">
                  <c:v>5.8448459086078639</c:v>
                </c:pt>
                <c:pt idx="58">
                  <c:v>4.0100250626566414</c:v>
                </c:pt>
                <c:pt idx="59">
                  <c:v>5.8879392212725543</c:v>
                </c:pt>
                <c:pt idx="60">
                  <c:v>5.0570962479608479</c:v>
                </c:pt>
                <c:pt idx="61">
                  <c:v>3.9426523297491038</c:v>
                </c:pt>
                <c:pt idx="62">
                  <c:v>3.75234521575985</c:v>
                </c:pt>
                <c:pt idx="63">
                  <c:v>2.3255813953488373</c:v>
                </c:pt>
                <c:pt idx="64">
                  <c:v>2.5700934579439254</c:v>
                </c:pt>
                <c:pt idx="65">
                  <c:v>4.6573519627411839</c:v>
                </c:pt>
                <c:pt idx="66">
                  <c:v>5.4112554112554117</c:v>
                </c:pt>
                <c:pt idx="67">
                  <c:v>4.63768115942029</c:v>
                </c:pt>
                <c:pt idx="68">
                  <c:v>6.4441887226697352</c:v>
                </c:pt>
                <c:pt idx="69">
                  <c:v>7.1713147410358564</c:v>
                </c:pt>
                <c:pt idx="70">
                  <c:v>4.8351648351648349</c:v>
                </c:pt>
                <c:pt idx="71">
                  <c:v>10.425531914893616</c:v>
                </c:pt>
                <c:pt idx="72">
                  <c:v>6.166666666666667</c:v>
                </c:pt>
                <c:pt idx="73">
                  <c:v>6.0301507537688446</c:v>
                </c:pt>
                <c:pt idx="74">
                  <c:v>6.3876651982378858</c:v>
                </c:pt>
                <c:pt idx="75">
                  <c:v>2.6392961876832843</c:v>
                </c:pt>
                <c:pt idx="76">
                  <c:v>7.7338129496402876</c:v>
                </c:pt>
                <c:pt idx="77">
                  <c:v>5.3398058252427187</c:v>
                </c:pt>
                <c:pt idx="78">
                  <c:v>7.3738680465717978</c:v>
                </c:pt>
                <c:pt idx="79">
                  <c:v>6.2717770034843205</c:v>
                </c:pt>
                <c:pt idx="80">
                  <c:v>6.4885496183206106</c:v>
                </c:pt>
                <c:pt idx="81">
                  <c:v>6.0200668896321075</c:v>
                </c:pt>
                <c:pt idx="82">
                  <c:v>10.29252437703142</c:v>
                </c:pt>
                <c:pt idx="83">
                  <c:v>7.4408117249154451</c:v>
                </c:pt>
                <c:pt idx="84">
                  <c:v>8.0924855491329488</c:v>
                </c:pt>
                <c:pt idx="85">
                  <c:v>6.2130177514792901</c:v>
                </c:pt>
                <c:pt idx="86">
                  <c:v>7.9062957540263543</c:v>
                </c:pt>
                <c:pt idx="87">
                  <c:v>6.1224489795918364</c:v>
                </c:pt>
                <c:pt idx="88">
                  <c:v>5.4093567251461989</c:v>
                </c:pt>
                <c:pt idx="89">
                  <c:v>4.1474654377880187</c:v>
                </c:pt>
                <c:pt idx="90">
                  <c:v>3.6170212765957448</c:v>
                </c:pt>
                <c:pt idx="91">
                  <c:v>4.5184304399524375</c:v>
                </c:pt>
                <c:pt idx="92">
                  <c:v>3.4626038781163433</c:v>
                </c:pt>
                <c:pt idx="93">
                  <c:v>3.3203125</c:v>
                </c:pt>
                <c:pt idx="94">
                  <c:v>4.8832271762208066</c:v>
                </c:pt>
                <c:pt idx="95">
                  <c:v>7.1428571428571432</c:v>
                </c:pt>
                <c:pt idx="96">
                  <c:v>1.6427104722792607</c:v>
                </c:pt>
                <c:pt idx="97">
                  <c:v>4.2365401588702563</c:v>
                </c:pt>
                <c:pt idx="98">
                  <c:v>2.8290282902829027</c:v>
                </c:pt>
                <c:pt idx="99">
                  <c:v>5.6831922611850061</c:v>
                </c:pt>
                <c:pt idx="100">
                  <c:v>5.1420838971583223</c:v>
                </c:pt>
                <c:pt idx="101">
                  <c:v>6.0810810810810807</c:v>
                </c:pt>
                <c:pt idx="102">
                  <c:v>5.882352941176471</c:v>
                </c:pt>
                <c:pt idx="103">
                  <c:v>0.56818181818181823</c:v>
                </c:pt>
                <c:pt idx="104">
                  <c:v>5</c:v>
                </c:pt>
                <c:pt idx="105">
                  <c:v>5.2229299363057322</c:v>
                </c:pt>
                <c:pt idx="106">
                  <c:v>7.969151670951157</c:v>
                </c:pt>
                <c:pt idx="107">
                  <c:v>6.4593301435406696</c:v>
                </c:pt>
                <c:pt idx="108">
                  <c:v>3.6468330134357005</c:v>
                </c:pt>
                <c:pt idx="109">
                  <c:v>6.6945606694560666</c:v>
                </c:pt>
                <c:pt idx="110">
                  <c:v>6.1391541609822644</c:v>
                </c:pt>
                <c:pt idx="111">
                  <c:v>3.7228541882109618</c:v>
                </c:pt>
                <c:pt idx="112">
                  <c:v>3.1512605042016806</c:v>
                </c:pt>
                <c:pt idx="113">
                  <c:v>6.5466448445171848</c:v>
                </c:pt>
                <c:pt idx="114">
                  <c:v>3.225806451612903</c:v>
                </c:pt>
                <c:pt idx="115">
                  <c:v>7</c:v>
                </c:pt>
                <c:pt idx="116">
                  <c:v>6.5030674846625764</c:v>
                </c:pt>
                <c:pt idx="117">
                  <c:v>5.5408970976253302</c:v>
                </c:pt>
                <c:pt idx="118">
                  <c:v>0</c:v>
                </c:pt>
                <c:pt idx="119">
                  <c:v>6.156901688182721</c:v>
                </c:pt>
                <c:pt idx="120">
                  <c:v>4.4198895027624312</c:v>
                </c:pt>
                <c:pt idx="121">
                  <c:v>4.2194092827004219</c:v>
                </c:pt>
                <c:pt idx="122">
                  <c:v>4.3283582089552235</c:v>
                </c:pt>
                <c:pt idx="123">
                  <c:v>6.666666666666667</c:v>
                </c:pt>
                <c:pt idx="124">
                  <c:v>4.562268803945746</c:v>
                </c:pt>
                <c:pt idx="125">
                  <c:v>4.9365303244005645</c:v>
                </c:pt>
                <c:pt idx="126">
                  <c:v>5.0785973397823456</c:v>
                </c:pt>
                <c:pt idx="127">
                  <c:v>5.2631578947368425</c:v>
                </c:pt>
                <c:pt idx="128">
                  <c:v>5.0561797752808992</c:v>
                </c:pt>
                <c:pt idx="129">
                  <c:v>5.5762081784386615</c:v>
                </c:pt>
                <c:pt idx="130">
                  <c:v>4.9528301886792452</c:v>
                </c:pt>
                <c:pt idx="131">
                  <c:v>4.9689440993788816</c:v>
                </c:pt>
                <c:pt idx="132">
                  <c:v>5.1689860834990062</c:v>
                </c:pt>
                <c:pt idx="133">
                  <c:v>6.5306122448979593</c:v>
                </c:pt>
                <c:pt idx="134">
                  <c:v>5.6603773584905657</c:v>
                </c:pt>
                <c:pt idx="135">
                  <c:v>7.0857142857142854</c:v>
                </c:pt>
                <c:pt idx="136">
                  <c:v>6.6433566433566433</c:v>
                </c:pt>
                <c:pt idx="137">
                  <c:v>4.6777546777546775</c:v>
                </c:pt>
                <c:pt idx="138">
                  <c:v>4.8507462686567164</c:v>
                </c:pt>
                <c:pt idx="139">
                  <c:v>6.1579651941097726</c:v>
                </c:pt>
                <c:pt idx="140">
                  <c:v>0.63542494042891184</c:v>
                </c:pt>
                <c:pt idx="141">
                  <c:v>7.4235807860262009</c:v>
                </c:pt>
                <c:pt idx="142">
                  <c:v>7.3349633251833737</c:v>
                </c:pt>
                <c:pt idx="143">
                  <c:v>6.7885117493472587</c:v>
                </c:pt>
                <c:pt idx="144">
                  <c:v>7.2538860103626943</c:v>
                </c:pt>
                <c:pt idx="145">
                  <c:v>5.3304904051172706</c:v>
                </c:pt>
                <c:pt idx="146">
                  <c:v>4.986149584487535</c:v>
                </c:pt>
                <c:pt idx="147">
                  <c:v>7.0229007633587788</c:v>
                </c:pt>
                <c:pt idx="148">
                  <c:v>5.9751972942502816</c:v>
                </c:pt>
                <c:pt idx="149">
                  <c:v>5.4994388327721664</c:v>
                </c:pt>
                <c:pt idx="150">
                  <c:v>4.5883940620782724</c:v>
                </c:pt>
                <c:pt idx="151">
                  <c:v>5.5876685934489405</c:v>
                </c:pt>
                <c:pt idx="152">
                  <c:v>5.2631578947368425</c:v>
                </c:pt>
                <c:pt idx="153">
                  <c:v>5.7312252964426875</c:v>
                </c:pt>
                <c:pt idx="154">
                  <c:v>5.4794520547945202</c:v>
                </c:pt>
                <c:pt idx="155">
                  <c:v>5.216095380029806</c:v>
                </c:pt>
                <c:pt idx="156">
                  <c:v>3.7601626016260163</c:v>
                </c:pt>
                <c:pt idx="157">
                  <c:v>4.5</c:v>
                </c:pt>
                <c:pt idx="158">
                  <c:v>5.5118110236220472</c:v>
                </c:pt>
                <c:pt idx="159">
                  <c:v>4.7186932849364789</c:v>
                </c:pt>
                <c:pt idx="160">
                  <c:v>5.3719008264462813</c:v>
                </c:pt>
                <c:pt idx="161">
                  <c:v>4.382470119521912</c:v>
                </c:pt>
                <c:pt idx="162">
                  <c:v>5.308464849354376</c:v>
                </c:pt>
                <c:pt idx="163">
                  <c:v>6.5390749601275919</c:v>
                </c:pt>
                <c:pt idx="164">
                  <c:v>4.9535603715170282</c:v>
                </c:pt>
                <c:pt idx="165">
                  <c:v>5.376344086021505</c:v>
                </c:pt>
                <c:pt idx="166">
                  <c:v>5.691056910569106</c:v>
                </c:pt>
                <c:pt idx="167">
                  <c:v>4.2477876106194694</c:v>
                </c:pt>
                <c:pt idx="168">
                  <c:v>5.1912568306010929</c:v>
                </c:pt>
                <c:pt idx="169">
                  <c:v>0</c:v>
                </c:pt>
                <c:pt idx="170">
                  <c:v>4.512635379061372</c:v>
                </c:pt>
                <c:pt idx="171">
                  <c:v>4.6040515653775325</c:v>
                </c:pt>
                <c:pt idx="172">
                  <c:v>4.5822102425876015</c:v>
                </c:pt>
                <c:pt idx="173">
                  <c:v>5.684754521963824</c:v>
                </c:pt>
                <c:pt idx="174">
                  <c:v>5.4123711340206189</c:v>
                </c:pt>
                <c:pt idx="175">
                  <c:v>3.8394415357766145</c:v>
                </c:pt>
                <c:pt idx="176">
                  <c:v>4.0141676505312871</c:v>
                </c:pt>
                <c:pt idx="177">
                  <c:v>2.3699802501645819</c:v>
                </c:pt>
                <c:pt idx="178">
                  <c:v>4.5694200351493848</c:v>
                </c:pt>
                <c:pt idx="179">
                  <c:v>0.72332730560578662</c:v>
                </c:pt>
                <c:pt idx="180">
                  <c:v>0.8534850640113798</c:v>
                </c:pt>
                <c:pt idx="181">
                  <c:v>4.6428571428571432</c:v>
                </c:pt>
              </c:numCache>
            </c:numRef>
          </c:yVal>
          <c:bubbleSize>
            <c:numRef>
              <c:f>'Дума одномандатный'!$J$2:$J$183</c:f>
              <c:numCache>
                <c:formatCode>General</c:formatCode>
                <c:ptCount val="182"/>
                <c:pt idx="0">
                  <c:v>2451</c:v>
                </c:pt>
                <c:pt idx="1">
                  <c:v>1779</c:v>
                </c:pt>
                <c:pt idx="2">
                  <c:v>1942</c:v>
                </c:pt>
                <c:pt idx="3">
                  <c:v>2100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377</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2224</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981</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176</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2210</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2924</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4-1915-4D2F-A61C-DFA9673AF133}"/>
            </c:ext>
          </c:extLst>
        </c:ser>
        <c:ser>
          <c:idx val="13"/>
          <c:order val="5"/>
          <c:tx>
            <c:strRef>
              <c:f>'Дума одномандатный'!$AL$1</c:f>
              <c:strCache>
                <c:ptCount val="1"/>
                <c:pt idx="0">
                  <c:v>Степанов (КР)</c:v>
                </c:pt>
              </c:strCache>
            </c:strRef>
          </c:tx>
          <c:spPr>
            <a:solidFill>
              <a:srgbClr val="FF9999">
                <a:alpha val="50196"/>
              </a:srgbClr>
            </a:solidFill>
            <a:ln w="25400"/>
          </c:spPr>
          <c:invertIfNegative val="0"/>
          <c:xVal>
            <c:numRef>
              <c:f>'Дума одномандатный'!$O$2:$O$183</c:f>
              <c:numCache>
                <c:formatCode>0.0</c:formatCode>
                <c:ptCount val="182"/>
                <c:pt idx="0">
                  <c:v>63.484292125662996</c:v>
                </c:pt>
                <c:pt idx="1">
                  <c:v>54.187745924676783</c:v>
                </c:pt>
                <c:pt idx="2">
                  <c:v>55.818743563336767</c:v>
                </c:pt>
                <c:pt idx="3">
                  <c:v>56</c:v>
                </c:pt>
                <c:pt idx="4">
                  <c:v>49.812130971551262</c:v>
                </c:pt>
                <c:pt idx="5">
                  <c:v>51.432958034800407</c:v>
                </c:pt>
                <c:pt idx="6">
                  <c:v>56.158134820070956</c:v>
                </c:pt>
                <c:pt idx="7">
                  <c:v>71.452328159645234</c:v>
                </c:pt>
                <c:pt idx="8">
                  <c:v>73.707753479125245</c:v>
                </c:pt>
                <c:pt idx="9">
                  <c:v>37.016574585635361</c:v>
                </c:pt>
                <c:pt idx="10">
                  <c:v>25.407309555262</c:v>
                </c:pt>
                <c:pt idx="11">
                  <c:v>72.562358276643991</c:v>
                </c:pt>
                <c:pt idx="12">
                  <c:v>52.684258416742495</c:v>
                </c:pt>
                <c:pt idx="13">
                  <c:v>35.041666666666664</c:v>
                </c:pt>
                <c:pt idx="14">
                  <c:v>48.151191454396056</c:v>
                </c:pt>
                <c:pt idx="15">
                  <c:v>29.507364144235652</c:v>
                </c:pt>
                <c:pt idx="16">
                  <c:v>44.562334217506631</c:v>
                </c:pt>
                <c:pt idx="17">
                  <c:v>32.345876701361092</c:v>
                </c:pt>
                <c:pt idx="18">
                  <c:v>48.951048951048953</c:v>
                </c:pt>
                <c:pt idx="19">
                  <c:v>36.920222634508349</c:v>
                </c:pt>
                <c:pt idx="20">
                  <c:v>26.006528835690968</c:v>
                </c:pt>
                <c:pt idx="21">
                  <c:v>47.85954785954786</c:v>
                </c:pt>
                <c:pt idx="22">
                  <c:v>33.137697516930025</c:v>
                </c:pt>
                <c:pt idx="23">
                  <c:v>37.266187050359711</c:v>
                </c:pt>
                <c:pt idx="24">
                  <c:v>31.379462318201853</c:v>
                </c:pt>
                <c:pt idx="25">
                  <c:v>38.636363636363633</c:v>
                </c:pt>
                <c:pt idx="26">
                  <c:v>47.569444444444443</c:v>
                </c:pt>
                <c:pt idx="27">
                  <c:v>43.30472103004292</c:v>
                </c:pt>
                <c:pt idx="28">
                  <c:v>48.960216998191683</c:v>
                </c:pt>
                <c:pt idx="29">
                  <c:v>34.414106939704212</c:v>
                </c:pt>
                <c:pt idx="30">
                  <c:v>41.391614629794823</c:v>
                </c:pt>
                <c:pt idx="31">
                  <c:v>30.035971223021583</c:v>
                </c:pt>
                <c:pt idx="32">
                  <c:v>37.808641975308639</c:v>
                </c:pt>
                <c:pt idx="33">
                  <c:v>95.27145359019265</c:v>
                </c:pt>
                <c:pt idx="34">
                  <c:v>43.419689119170982</c:v>
                </c:pt>
                <c:pt idx="35">
                  <c:v>59.961904761904762</c:v>
                </c:pt>
                <c:pt idx="36">
                  <c:v>80.892103676913806</c:v>
                </c:pt>
                <c:pt idx="37">
                  <c:v>37.891440501043839</c:v>
                </c:pt>
                <c:pt idx="38">
                  <c:v>40.490081680280049</c:v>
                </c:pt>
                <c:pt idx="39">
                  <c:v>40.014164305949009</c:v>
                </c:pt>
                <c:pt idx="40">
                  <c:v>35.019646365422396</c:v>
                </c:pt>
                <c:pt idx="41">
                  <c:v>30.76923076923077</c:v>
                </c:pt>
                <c:pt idx="42">
                  <c:v>34.175334323922733</c:v>
                </c:pt>
                <c:pt idx="43">
                  <c:v>34.108527131782942</c:v>
                </c:pt>
                <c:pt idx="44">
                  <c:v>66.542133665421332</c:v>
                </c:pt>
                <c:pt idx="45">
                  <c:v>77.573904179408771</c:v>
                </c:pt>
                <c:pt idx="46">
                  <c:v>64.759725400457668</c:v>
                </c:pt>
                <c:pt idx="47">
                  <c:v>40.934579439252339</c:v>
                </c:pt>
                <c:pt idx="48">
                  <c:v>46.253229974160206</c:v>
                </c:pt>
                <c:pt idx="49">
                  <c:v>54.984354045596781</c:v>
                </c:pt>
                <c:pt idx="50">
                  <c:v>40.935672514619881</c:v>
                </c:pt>
                <c:pt idx="51">
                  <c:v>37.672465506898618</c:v>
                </c:pt>
                <c:pt idx="52">
                  <c:v>42.771804062126641</c:v>
                </c:pt>
                <c:pt idx="53">
                  <c:v>78.285714285714292</c:v>
                </c:pt>
                <c:pt idx="54">
                  <c:v>33.782267115600447</c:v>
                </c:pt>
                <c:pt idx="55">
                  <c:v>33.562113932738505</c:v>
                </c:pt>
                <c:pt idx="56">
                  <c:v>43.99198931909212</c:v>
                </c:pt>
                <c:pt idx="57">
                  <c:v>35.322822822822822</c:v>
                </c:pt>
                <c:pt idx="58">
                  <c:v>28.550983899821109</c:v>
                </c:pt>
                <c:pt idx="59">
                  <c:v>40.453323088743758</c:v>
                </c:pt>
                <c:pt idx="60">
                  <c:v>38.582677165354333</c:v>
                </c:pt>
                <c:pt idx="61">
                  <c:v>44.122298365840798</c:v>
                </c:pt>
                <c:pt idx="62">
                  <c:v>26.386138613861387</c:v>
                </c:pt>
                <c:pt idx="63">
                  <c:v>26.959247648902821</c:v>
                </c:pt>
                <c:pt idx="64">
                  <c:v>29.1156462585034</c:v>
                </c:pt>
                <c:pt idx="65">
                  <c:v>57.634902411021812</c:v>
                </c:pt>
                <c:pt idx="66">
                  <c:v>64.978902953586498</c:v>
                </c:pt>
                <c:pt idx="67">
                  <c:v>51.035502958579883</c:v>
                </c:pt>
                <c:pt idx="68">
                  <c:v>46.972972972972975</c:v>
                </c:pt>
                <c:pt idx="69">
                  <c:v>52.648138437336129</c:v>
                </c:pt>
                <c:pt idx="70">
                  <c:v>36.752827140549272</c:v>
                </c:pt>
                <c:pt idx="71">
                  <c:v>41.978609625668447</c:v>
                </c:pt>
                <c:pt idx="72">
                  <c:v>40.397350993377486</c:v>
                </c:pt>
                <c:pt idx="73">
                  <c:v>22.40990990990991</c:v>
                </c:pt>
                <c:pt idx="74">
                  <c:v>34.809160305343511</c:v>
                </c:pt>
                <c:pt idx="75">
                  <c:v>51.278195488721806</c:v>
                </c:pt>
                <c:pt idx="76">
                  <c:v>54.563297350343476</c:v>
                </c:pt>
                <c:pt idx="77">
                  <c:v>60.084033613445378</c:v>
                </c:pt>
                <c:pt idx="78">
                  <c:v>50.821827744904667</c:v>
                </c:pt>
                <c:pt idx="79">
                  <c:v>40.422535211267608</c:v>
                </c:pt>
                <c:pt idx="80">
                  <c:v>51.540983606557376</c:v>
                </c:pt>
                <c:pt idx="81">
                  <c:v>40.625</c:v>
                </c:pt>
                <c:pt idx="82">
                  <c:v>47.904811174340402</c:v>
                </c:pt>
                <c:pt idx="83">
                  <c:v>43.352883675464319</c:v>
                </c:pt>
                <c:pt idx="84">
                  <c:v>40.621336459554513</c:v>
                </c:pt>
                <c:pt idx="85">
                  <c:v>39.648093841642229</c:v>
                </c:pt>
                <c:pt idx="86">
                  <c:v>44.669718770438195</c:v>
                </c:pt>
                <c:pt idx="87">
                  <c:v>35.388888888888886</c:v>
                </c:pt>
                <c:pt idx="88">
                  <c:v>35.514018691588788</c:v>
                </c:pt>
                <c:pt idx="89">
                  <c:v>44.083291010665313</c:v>
                </c:pt>
                <c:pt idx="90">
                  <c:v>49.188906331763476</c:v>
                </c:pt>
                <c:pt idx="91">
                  <c:v>51.062537947783852</c:v>
                </c:pt>
                <c:pt idx="92">
                  <c:v>54.863221884498479</c:v>
                </c:pt>
                <c:pt idx="93">
                  <c:v>63.973344439816742</c:v>
                </c:pt>
                <c:pt idx="94">
                  <c:v>66.090611863615138</c:v>
                </c:pt>
                <c:pt idx="95">
                  <c:v>64.959349593495929</c:v>
                </c:pt>
                <c:pt idx="96">
                  <c:v>53.224043715846996</c:v>
                </c:pt>
                <c:pt idx="97">
                  <c:v>47.465437788018434</c:v>
                </c:pt>
                <c:pt idx="98">
                  <c:v>52.964169381107489</c:v>
                </c:pt>
                <c:pt idx="99">
                  <c:v>31.266540642722116</c:v>
                </c:pt>
                <c:pt idx="100">
                  <c:v>36.172295643661279</c:v>
                </c:pt>
                <c:pt idx="101">
                  <c:v>55.275443510737631</c:v>
                </c:pt>
                <c:pt idx="102">
                  <c:v>56.983805668016196</c:v>
                </c:pt>
                <c:pt idx="103">
                  <c:v>100</c:v>
                </c:pt>
                <c:pt idx="104">
                  <c:v>90.865384615384613</c:v>
                </c:pt>
                <c:pt idx="105">
                  <c:v>45.037292025243829</c:v>
                </c:pt>
                <c:pt idx="106">
                  <c:v>34.424778761061944</c:v>
                </c:pt>
                <c:pt idx="107">
                  <c:v>36.03448275862069</c:v>
                </c:pt>
                <c:pt idx="108">
                  <c:v>40.813135261923378</c:v>
                </c:pt>
                <c:pt idx="109">
                  <c:v>37.786561264822133</c:v>
                </c:pt>
                <c:pt idx="110">
                  <c:v>42.10526315789474</c:v>
                </c:pt>
                <c:pt idx="111">
                  <c:v>39.198131568703779</c:v>
                </c:pt>
                <c:pt idx="112">
                  <c:v>39.279869067103107</c:v>
                </c:pt>
                <c:pt idx="113">
                  <c:v>42.108890420399725</c:v>
                </c:pt>
                <c:pt idx="114">
                  <c:v>38.65336658354115</c:v>
                </c:pt>
                <c:pt idx="115">
                  <c:v>35.413899955732624</c:v>
                </c:pt>
                <c:pt idx="116">
                  <c:v>44.002151694459386</c:v>
                </c:pt>
                <c:pt idx="117">
                  <c:v>36.372360844529751</c:v>
                </c:pt>
                <c:pt idx="118">
                  <c:v>0</c:v>
                </c:pt>
                <c:pt idx="119">
                  <c:v>41.481481481481481</c:v>
                </c:pt>
                <c:pt idx="120">
                  <c:v>32.568600989653618</c:v>
                </c:pt>
                <c:pt idx="121">
                  <c:v>51.320918146383718</c:v>
                </c:pt>
                <c:pt idx="122">
                  <c:v>33.550325488232346</c:v>
                </c:pt>
                <c:pt idx="123">
                  <c:v>35.837864557587743</c:v>
                </c:pt>
                <c:pt idx="124">
                  <c:v>43.155339805825243</c:v>
                </c:pt>
                <c:pt idx="125">
                  <c:v>40.560640732265448</c:v>
                </c:pt>
                <c:pt idx="126">
                  <c:v>36.066288704753596</c:v>
                </c:pt>
                <c:pt idx="127">
                  <c:v>33.364140480591495</c:v>
                </c:pt>
                <c:pt idx="128">
                  <c:v>35.832913940613992</c:v>
                </c:pt>
                <c:pt idx="129">
                  <c:v>41.194486983154668</c:v>
                </c:pt>
                <c:pt idx="130">
                  <c:v>70.199587061252586</c:v>
                </c:pt>
                <c:pt idx="131">
                  <c:v>31.971465629053178</c:v>
                </c:pt>
                <c:pt idx="132">
                  <c:v>34.171195652173914</c:v>
                </c:pt>
                <c:pt idx="133">
                  <c:v>33.630748112560056</c:v>
                </c:pt>
                <c:pt idx="134">
                  <c:v>28.648648648648649</c:v>
                </c:pt>
                <c:pt idx="135">
                  <c:v>41.429924242424242</c:v>
                </c:pt>
                <c:pt idx="136">
                  <c:v>55.265700483091784</c:v>
                </c:pt>
                <c:pt idx="137">
                  <c:v>50.684210526315788</c:v>
                </c:pt>
                <c:pt idx="138">
                  <c:v>36.419213973799124</c:v>
                </c:pt>
                <c:pt idx="139">
                  <c:v>34.091943559399184</c:v>
                </c:pt>
                <c:pt idx="140">
                  <c:v>69.944444444444443</c:v>
                </c:pt>
                <c:pt idx="141">
                  <c:v>31.717451523545705</c:v>
                </c:pt>
                <c:pt idx="142">
                  <c:v>40.26290165530672</c:v>
                </c:pt>
                <c:pt idx="143">
                  <c:v>36.320531057373159</c:v>
                </c:pt>
                <c:pt idx="144">
                  <c:v>30.732484076433121</c:v>
                </c:pt>
                <c:pt idx="145">
                  <c:v>36.871069182389938</c:v>
                </c:pt>
                <c:pt idx="146">
                  <c:v>35.288367546432063</c:v>
                </c:pt>
                <c:pt idx="147">
                  <c:v>34.275248560962844</c:v>
                </c:pt>
                <c:pt idx="148">
                  <c:v>38.125802310654684</c:v>
                </c:pt>
                <c:pt idx="149">
                  <c:v>40.316742081447963</c:v>
                </c:pt>
                <c:pt idx="150">
                  <c:v>28.046934140802421</c:v>
                </c:pt>
                <c:pt idx="151">
                  <c:v>28.618602091359385</c:v>
                </c:pt>
                <c:pt idx="152">
                  <c:v>32.336255801959773</c:v>
                </c:pt>
                <c:pt idx="153">
                  <c:v>24.444444444444443</c:v>
                </c:pt>
                <c:pt idx="154">
                  <c:v>28.752735229759299</c:v>
                </c:pt>
                <c:pt idx="155">
                  <c:v>26.303410427283417</c:v>
                </c:pt>
                <c:pt idx="156">
                  <c:v>32.887700534759361</c:v>
                </c:pt>
                <c:pt idx="157">
                  <c:v>53.324468085106382</c:v>
                </c:pt>
                <c:pt idx="158">
                  <c:v>50.189155107187894</c:v>
                </c:pt>
                <c:pt idx="159">
                  <c:v>32.23570190641248</c:v>
                </c:pt>
                <c:pt idx="160">
                  <c:v>44.567219152854513</c:v>
                </c:pt>
                <c:pt idx="161">
                  <c:v>26.778385772913818</c:v>
                </c:pt>
                <c:pt idx="162">
                  <c:v>26.083707025411062</c:v>
                </c:pt>
                <c:pt idx="163">
                  <c:v>26.590330788804071</c:v>
                </c:pt>
                <c:pt idx="164">
                  <c:v>29.204339963833636</c:v>
                </c:pt>
                <c:pt idx="165">
                  <c:v>26.91194708557255</c:v>
                </c:pt>
                <c:pt idx="166">
                  <c:v>22.96983758700696</c:v>
                </c:pt>
                <c:pt idx="167">
                  <c:v>24.077999152183128</c:v>
                </c:pt>
                <c:pt idx="168">
                  <c:v>24.746450304259636</c:v>
                </c:pt>
                <c:pt idx="169">
                  <c:v>16.688918558077436</c:v>
                </c:pt>
                <c:pt idx="170">
                  <c:v>20.803604956815622</c:v>
                </c:pt>
                <c:pt idx="171">
                  <c:v>42.521534847298355</c:v>
                </c:pt>
                <c:pt idx="172">
                  <c:v>34.256694367497694</c:v>
                </c:pt>
                <c:pt idx="173">
                  <c:v>31.412337662337663</c:v>
                </c:pt>
                <c:pt idx="174">
                  <c:v>37.596899224806201</c:v>
                </c:pt>
                <c:pt idx="175">
                  <c:v>37.201166180758015</c:v>
                </c:pt>
                <c:pt idx="176">
                  <c:v>49.561146869514339</c:v>
                </c:pt>
                <c:pt idx="177">
                  <c:v>62.228594838181074</c:v>
                </c:pt>
                <c:pt idx="178">
                  <c:v>31.506090808416388</c:v>
                </c:pt>
                <c:pt idx="179">
                  <c:v>42.149390243902438</c:v>
                </c:pt>
                <c:pt idx="180">
                  <c:v>42.400482509047045</c:v>
                </c:pt>
                <c:pt idx="181">
                  <c:v>26.266416510318951</c:v>
                </c:pt>
              </c:numCache>
            </c:numRef>
          </c:xVal>
          <c:yVal>
            <c:numRef>
              <c:f>'Дума одномандатный'!$AL$2:$AL$183</c:f>
              <c:numCache>
                <c:formatCode>0.0</c:formatCode>
                <c:ptCount val="182"/>
                <c:pt idx="0">
                  <c:v>5.3341902313624683</c:v>
                </c:pt>
                <c:pt idx="1">
                  <c:v>4.3704474505723203</c:v>
                </c:pt>
                <c:pt idx="2">
                  <c:v>1.478743068391867</c:v>
                </c:pt>
                <c:pt idx="3">
                  <c:v>3.7542662116040955</c:v>
                </c:pt>
                <c:pt idx="4">
                  <c:v>4.2162162162162158</c:v>
                </c:pt>
                <c:pt idx="5">
                  <c:v>6.024096385542169</c:v>
                </c:pt>
                <c:pt idx="6">
                  <c:v>4.8736462093862816</c:v>
                </c:pt>
                <c:pt idx="7">
                  <c:v>3.6747458952306489</c:v>
                </c:pt>
                <c:pt idx="8">
                  <c:v>3.9784221173297372</c:v>
                </c:pt>
                <c:pt idx="9">
                  <c:v>6.2355658198614314</c:v>
                </c:pt>
                <c:pt idx="10">
                  <c:v>6.0658578856152516</c:v>
                </c:pt>
                <c:pt idx="11">
                  <c:v>4.6875</c:v>
                </c:pt>
                <c:pt idx="12">
                  <c:v>9.8445595854922274</c:v>
                </c:pt>
                <c:pt idx="13">
                  <c:v>6.183115338882283</c:v>
                </c:pt>
                <c:pt idx="14">
                  <c:v>4.4368600682593859</c:v>
                </c:pt>
                <c:pt idx="15">
                  <c:v>5.8519793459552494</c:v>
                </c:pt>
                <c:pt idx="16">
                  <c:v>6.5476190476190474</c:v>
                </c:pt>
                <c:pt idx="17">
                  <c:v>6.78391959798995</c:v>
                </c:pt>
                <c:pt idx="18">
                  <c:v>6.3095238095238093</c:v>
                </c:pt>
                <c:pt idx="19">
                  <c:v>7.6381909547738696</c:v>
                </c:pt>
                <c:pt idx="20">
                  <c:v>8.5953878406708597</c:v>
                </c:pt>
                <c:pt idx="21">
                  <c:v>3.9195979899497488</c:v>
                </c:pt>
                <c:pt idx="22">
                  <c:v>7.084468664850136</c:v>
                </c:pt>
                <c:pt idx="23">
                  <c:v>6.3063063063063067</c:v>
                </c:pt>
                <c:pt idx="24">
                  <c:v>5.6258790436005626</c:v>
                </c:pt>
                <c:pt idx="25">
                  <c:v>7.3529411764705879</c:v>
                </c:pt>
                <c:pt idx="26">
                  <c:v>7.7163712200208554</c:v>
                </c:pt>
                <c:pt idx="27">
                  <c:v>6.8136272545090177</c:v>
                </c:pt>
                <c:pt idx="28">
                  <c:v>5.287569573283859</c:v>
                </c:pt>
                <c:pt idx="29">
                  <c:v>8.9256198347107443</c:v>
                </c:pt>
                <c:pt idx="30">
                  <c:v>7.7586206896551726</c:v>
                </c:pt>
                <c:pt idx="31">
                  <c:v>8.8323353293413174</c:v>
                </c:pt>
                <c:pt idx="32">
                  <c:v>3.8854805725971371</c:v>
                </c:pt>
                <c:pt idx="33">
                  <c:v>9.0239410681399637</c:v>
                </c:pt>
                <c:pt idx="34">
                  <c:v>4.5346062052505971</c:v>
                </c:pt>
                <c:pt idx="35">
                  <c:v>4.7649301143583225</c:v>
                </c:pt>
                <c:pt idx="36">
                  <c:v>7.4515648286140088E-2</c:v>
                </c:pt>
                <c:pt idx="37">
                  <c:v>4.1322314049586772</c:v>
                </c:pt>
                <c:pt idx="38">
                  <c:v>7.4927953890489913</c:v>
                </c:pt>
                <c:pt idx="39">
                  <c:v>5.6737588652482271</c:v>
                </c:pt>
                <c:pt idx="40">
                  <c:v>5.5636896046852122</c:v>
                </c:pt>
                <c:pt idx="41">
                  <c:v>5.8139534883720927</c:v>
                </c:pt>
                <c:pt idx="42">
                  <c:v>7.6086956521739131</c:v>
                </c:pt>
                <c:pt idx="43">
                  <c:v>9.1377091377091375</c:v>
                </c:pt>
                <c:pt idx="44">
                  <c:v>3.4934497816593888</c:v>
                </c:pt>
                <c:pt idx="45">
                  <c:v>1.7127799736495388</c:v>
                </c:pt>
                <c:pt idx="46">
                  <c:v>9.8939929328621901</c:v>
                </c:pt>
                <c:pt idx="47">
                  <c:v>7.6103500761035008</c:v>
                </c:pt>
                <c:pt idx="48">
                  <c:v>8.6592178770949726</c:v>
                </c:pt>
                <c:pt idx="49">
                  <c:v>7.2013093289689039</c:v>
                </c:pt>
                <c:pt idx="50">
                  <c:v>8.7012987012987004</c:v>
                </c:pt>
                <c:pt idx="51">
                  <c:v>9.5541401273885356</c:v>
                </c:pt>
                <c:pt idx="52">
                  <c:v>8.1005586592178762</c:v>
                </c:pt>
                <c:pt idx="53">
                  <c:v>6.3260340632603409</c:v>
                </c:pt>
                <c:pt idx="54">
                  <c:v>6.8106312292358808</c:v>
                </c:pt>
                <c:pt idx="55">
                  <c:v>9.8159509202453989</c:v>
                </c:pt>
                <c:pt idx="56">
                  <c:v>5.0075872534142638</c:v>
                </c:pt>
                <c:pt idx="57">
                  <c:v>5.8448459086078639</c:v>
                </c:pt>
                <c:pt idx="58">
                  <c:v>4.0100250626566414</c:v>
                </c:pt>
                <c:pt idx="59">
                  <c:v>7.5023741690408361</c:v>
                </c:pt>
                <c:pt idx="60">
                  <c:v>4.5676998368678632</c:v>
                </c:pt>
                <c:pt idx="61">
                  <c:v>2.5089605734767026</c:v>
                </c:pt>
                <c:pt idx="62">
                  <c:v>4.3151969981238274</c:v>
                </c:pt>
                <c:pt idx="63">
                  <c:v>1.1627906976744187</c:v>
                </c:pt>
                <c:pt idx="64">
                  <c:v>7.2429906542056077</c:v>
                </c:pt>
                <c:pt idx="65">
                  <c:v>6.7198935462408516</c:v>
                </c:pt>
                <c:pt idx="66">
                  <c:v>6.0606060606060606</c:v>
                </c:pt>
                <c:pt idx="67">
                  <c:v>5.7971014492753623</c:v>
                </c:pt>
                <c:pt idx="68">
                  <c:v>10.586881472957423</c:v>
                </c:pt>
                <c:pt idx="69">
                  <c:v>6.5737051792828689</c:v>
                </c:pt>
                <c:pt idx="70">
                  <c:v>7.2527472527472527</c:v>
                </c:pt>
                <c:pt idx="71">
                  <c:v>6.8085106382978724</c:v>
                </c:pt>
                <c:pt idx="72">
                  <c:v>5</c:v>
                </c:pt>
                <c:pt idx="73">
                  <c:v>4.5226130653266328</c:v>
                </c:pt>
                <c:pt idx="74">
                  <c:v>4.4052863436123344</c:v>
                </c:pt>
                <c:pt idx="75">
                  <c:v>2.9325513196480939</c:v>
                </c:pt>
                <c:pt idx="76">
                  <c:v>5.485611510791367</c:v>
                </c:pt>
                <c:pt idx="77">
                  <c:v>6.3106796116504853</c:v>
                </c:pt>
                <c:pt idx="78">
                  <c:v>4.6571798188874514</c:v>
                </c:pt>
                <c:pt idx="79">
                  <c:v>6.2717770034843205</c:v>
                </c:pt>
                <c:pt idx="80">
                  <c:v>6.8702290076335881</c:v>
                </c:pt>
                <c:pt idx="81">
                  <c:v>8.1939799331103682</c:v>
                </c:pt>
                <c:pt idx="82">
                  <c:v>8.2340195016251361</c:v>
                </c:pt>
                <c:pt idx="83">
                  <c:v>8.2299887260428406</c:v>
                </c:pt>
                <c:pt idx="84">
                  <c:v>7.3699421965317917</c:v>
                </c:pt>
                <c:pt idx="85">
                  <c:v>9.0236686390532537</c:v>
                </c:pt>
                <c:pt idx="86">
                  <c:v>7.0278184480234263</c:v>
                </c:pt>
                <c:pt idx="87">
                  <c:v>8.1632653061224492</c:v>
                </c:pt>
                <c:pt idx="88">
                  <c:v>5.5555555555555554</c:v>
                </c:pt>
                <c:pt idx="89">
                  <c:v>4.2626728110599075</c:v>
                </c:pt>
                <c:pt idx="90">
                  <c:v>5.2127659574468082</c:v>
                </c:pt>
                <c:pt idx="91">
                  <c:v>4.9940546967895365</c:v>
                </c:pt>
                <c:pt idx="92">
                  <c:v>4.2936288088642662</c:v>
                </c:pt>
                <c:pt idx="93">
                  <c:v>4.1015625</c:v>
                </c:pt>
                <c:pt idx="94">
                  <c:v>8.4925690021231421</c:v>
                </c:pt>
                <c:pt idx="95">
                  <c:v>8.5164835164835164</c:v>
                </c:pt>
                <c:pt idx="96">
                  <c:v>2.6694045174537986</c:v>
                </c:pt>
                <c:pt idx="97">
                  <c:v>4.3248014121800527</c:v>
                </c:pt>
                <c:pt idx="98">
                  <c:v>3.0750307503075032</c:v>
                </c:pt>
                <c:pt idx="99">
                  <c:v>7.4969770253929866</c:v>
                </c:pt>
                <c:pt idx="100">
                  <c:v>5.953991880920162</c:v>
                </c:pt>
                <c:pt idx="101">
                  <c:v>5.0675675675675675</c:v>
                </c:pt>
                <c:pt idx="102">
                  <c:v>6.0606060606060606</c:v>
                </c:pt>
                <c:pt idx="103">
                  <c:v>0.56818181818181823</c:v>
                </c:pt>
                <c:pt idx="104">
                  <c:v>5</c:v>
                </c:pt>
                <c:pt idx="105">
                  <c:v>5.0955414012738851</c:v>
                </c:pt>
                <c:pt idx="106">
                  <c:v>3.0848329048843186</c:v>
                </c:pt>
                <c:pt idx="107">
                  <c:v>4.4258373205741623</c:v>
                </c:pt>
                <c:pt idx="108">
                  <c:v>4.7984644913627639</c:v>
                </c:pt>
                <c:pt idx="109">
                  <c:v>7.1129707112970708</c:v>
                </c:pt>
                <c:pt idx="110">
                  <c:v>3.6834924965893587</c:v>
                </c:pt>
                <c:pt idx="111">
                  <c:v>4.7569803516028957</c:v>
                </c:pt>
                <c:pt idx="112">
                  <c:v>6.0924369747899156</c:v>
                </c:pt>
                <c:pt idx="113">
                  <c:v>7.8559738134206221</c:v>
                </c:pt>
                <c:pt idx="114">
                  <c:v>3.4408602150537635</c:v>
                </c:pt>
                <c:pt idx="115">
                  <c:v>6.125</c:v>
                </c:pt>
                <c:pt idx="116">
                  <c:v>4.1717791411042944</c:v>
                </c:pt>
                <c:pt idx="117">
                  <c:v>5.6728232189973617</c:v>
                </c:pt>
                <c:pt idx="118">
                  <c:v>0</c:v>
                </c:pt>
                <c:pt idx="119">
                  <c:v>6.5541211519364451</c:v>
                </c:pt>
                <c:pt idx="120">
                  <c:v>7.458563535911602</c:v>
                </c:pt>
                <c:pt idx="121">
                  <c:v>4.3037974683544302</c:v>
                </c:pt>
                <c:pt idx="122">
                  <c:v>4.6268656716417906</c:v>
                </c:pt>
                <c:pt idx="123">
                  <c:v>5.5555555555555554</c:v>
                </c:pt>
                <c:pt idx="124">
                  <c:v>4.9321824907521581</c:v>
                </c:pt>
                <c:pt idx="125">
                  <c:v>4.795486600846262</c:v>
                </c:pt>
                <c:pt idx="126">
                  <c:v>5.1995163240628779</c:v>
                </c:pt>
                <c:pt idx="127">
                  <c:v>5.1246537396121887</c:v>
                </c:pt>
                <c:pt idx="128">
                  <c:v>5.617977528089888</c:v>
                </c:pt>
                <c:pt idx="129">
                  <c:v>4.0892193308550189</c:v>
                </c:pt>
                <c:pt idx="130">
                  <c:v>4.716981132075472</c:v>
                </c:pt>
                <c:pt idx="131">
                  <c:v>7.2463768115942031</c:v>
                </c:pt>
                <c:pt idx="132">
                  <c:v>5.7654075546719685</c:v>
                </c:pt>
                <c:pt idx="133">
                  <c:v>5.7142857142857144</c:v>
                </c:pt>
                <c:pt idx="134">
                  <c:v>6.7924528301886795</c:v>
                </c:pt>
                <c:pt idx="135">
                  <c:v>5.1428571428571432</c:v>
                </c:pt>
                <c:pt idx="136">
                  <c:v>6.2937062937062933</c:v>
                </c:pt>
                <c:pt idx="137">
                  <c:v>2.4948024948024949</c:v>
                </c:pt>
                <c:pt idx="138">
                  <c:v>4.7263681592039797</c:v>
                </c:pt>
                <c:pt idx="139">
                  <c:v>5.8902275769745653</c:v>
                </c:pt>
                <c:pt idx="140">
                  <c:v>1.9062748212867355</c:v>
                </c:pt>
                <c:pt idx="141">
                  <c:v>7.2780203784570601</c:v>
                </c:pt>
                <c:pt idx="142">
                  <c:v>5.0122249388753053</c:v>
                </c:pt>
                <c:pt idx="143">
                  <c:v>4.6997389033942563</c:v>
                </c:pt>
                <c:pt idx="144">
                  <c:v>5.6994818652849739</c:v>
                </c:pt>
                <c:pt idx="145">
                  <c:v>5.7569296375266523</c:v>
                </c:pt>
                <c:pt idx="146">
                  <c:v>5.8171745152354575</c:v>
                </c:pt>
                <c:pt idx="147">
                  <c:v>7.1755725190839694</c:v>
                </c:pt>
                <c:pt idx="148">
                  <c:v>6.313416009019166</c:v>
                </c:pt>
                <c:pt idx="149">
                  <c:v>4.9382716049382713</c:v>
                </c:pt>
                <c:pt idx="150">
                  <c:v>3.3738191632928474</c:v>
                </c:pt>
                <c:pt idx="151">
                  <c:v>4.8169556840077075</c:v>
                </c:pt>
                <c:pt idx="152">
                  <c:v>4.3062200956937797</c:v>
                </c:pt>
                <c:pt idx="153">
                  <c:v>4.5454545454545459</c:v>
                </c:pt>
                <c:pt idx="154">
                  <c:v>5.0228310502283104</c:v>
                </c:pt>
                <c:pt idx="155">
                  <c:v>6.1102831594634877</c:v>
                </c:pt>
                <c:pt idx="156">
                  <c:v>3.3536585365853657</c:v>
                </c:pt>
                <c:pt idx="157">
                  <c:v>4</c:v>
                </c:pt>
                <c:pt idx="158">
                  <c:v>7.6115485564304466</c:v>
                </c:pt>
                <c:pt idx="159">
                  <c:v>4.1742286751361162</c:v>
                </c:pt>
                <c:pt idx="160">
                  <c:v>2.8925619834710745</c:v>
                </c:pt>
                <c:pt idx="161">
                  <c:v>4.1168658698539176</c:v>
                </c:pt>
                <c:pt idx="162">
                  <c:v>5.7388809182209473</c:v>
                </c:pt>
                <c:pt idx="163">
                  <c:v>4.7846889952153111</c:v>
                </c:pt>
                <c:pt idx="164">
                  <c:v>5.1083591331269353</c:v>
                </c:pt>
                <c:pt idx="165">
                  <c:v>5.0691244239631335</c:v>
                </c:pt>
                <c:pt idx="166">
                  <c:v>4.6747967479674797</c:v>
                </c:pt>
                <c:pt idx="167">
                  <c:v>5.3097345132743365</c:v>
                </c:pt>
                <c:pt idx="168">
                  <c:v>6.693989071038251</c:v>
                </c:pt>
                <c:pt idx="169">
                  <c:v>8.4033613445378155</c:v>
                </c:pt>
                <c:pt idx="170">
                  <c:v>5.0541516245487363</c:v>
                </c:pt>
                <c:pt idx="171">
                  <c:v>3.4990791896869244</c:v>
                </c:pt>
                <c:pt idx="172">
                  <c:v>3.5040431266846359</c:v>
                </c:pt>
                <c:pt idx="173">
                  <c:v>6.7183462532299743</c:v>
                </c:pt>
                <c:pt idx="174">
                  <c:v>7.2164948453608249</c:v>
                </c:pt>
                <c:pt idx="175">
                  <c:v>2.7923211169284468</c:v>
                </c:pt>
                <c:pt idx="176">
                  <c:v>3.0696576151121606</c:v>
                </c:pt>
                <c:pt idx="177">
                  <c:v>1.9749835418038184</c:v>
                </c:pt>
                <c:pt idx="178">
                  <c:v>4.5694200351493848</c:v>
                </c:pt>
                <c:pt idx="179">
                  <c:v>1.6274864376130198</c:v>
                </c:pt>
                <c:pt idx="180">
                  <c:v>0.28449502133712662</c:v>
                </c:pt>
                <c:pt idx="181">
                  <c:v>1.4285714285714286</c:v>
                </c:pt>
              </c:numCache>
            </c:numRef>
          </c:yVal>
          <c:bubbleSize>
            <c:numRef>
              <c:f>'Дума одномандатный'!$J$2:$J$183</c:f>
              <c:numCache>
                <c:formatCode>General</c:formatCode>
                <c:ptCount val="182"/>
                <c:pt idx="0">
                  <c:v>2451</c:v>
                </c:pt>
                <c:pt idx="1">
                  <c:v>1779</c:v>
                </c:pt>
                <c:pt idx="2">
                  <c:v>1942</c:v>
                </c:pt>
                <c:pt idx="3">
                  <c:v>2100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377</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2224</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981</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176</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2210</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2924</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5-1915-4D2F-A61C-DFA9673AF133}"/>
            </c:ext>
          </c:extLst>
        </c:ser>
        <c:ser>
          <c:idx val="2"/>
          <c:order val="6"/>
          <c:tx>
            <c:strRef>
              <c:f>'Дума одномандатный'!$AN$1</c:f>
              <c:strCache>
                <c:ptCount val="1"/>
                <c:pt idx="0">
                  <c:v>Сукязян (Экол. зеленые)</c:v>
                </c:pt>
              </c:strCache>
            </c:strRef>
          </c:tx>
          <c:spPr>
            <a:solidFill>
              <a:srgbClr val="66FF66">
                <a:alpha val="49804"/>
              </a:srgbClr>
            </a:solidFill>
            <a:ln w="25400">
              <a:noFill/>
            </a:ln>
          </c:spPr>
          <c:invertIfNegative val="0"/>
          <c:xVal>
            <c:numRef>
              <c:f>'Дума одномандатный'!$O$2:$O$183</c:f>
              <c:numCache>
                <c:formatCode>0.0</c:formatCode>
                <c:ptCount val="182"/>
                <c:pt idx="0">
                  <c:v>63.484292125662996</c:v>
                </c:pt>
                <c:pt idx="1">
                  <c:v>54.187745924676783</c:v>
                </c:pt>
                <c:pt idx="2">
                  <c:v>55.818743563336767</c:v>
                </c:pt>
                <c:pt idx="3">
                  <c:v>56</c:v>
                </c:pt>
                <c:pt idx="4">
                  <c:v>49.812130971551262</c:v>
                </c:pt>
                <c:pt idx="5">
                  <c:v>51.432958034800407</c:v>
                </c:pt>
                <c:pt idx="6">
                  <c:v>56.158134820070956</c:v>
                </c:pt>
                <c:pt idx="7">
                  <c:v>71.452328159645234</c:v>
                </c:pt>
                <c:pt idx="8">
                  <c:v>73.707753479125245</c:v>
                </c:pt>
                <c:pt idx="9">
                  <c:v>37.016574585635361</c:v>
                </c:pt>
                <c:pt idx="10">
                  <c:v>25.407309555262</c:v>
                </c:pt>
                <c:pt idx="11">
                  <c:v>72.562358276643991</c:v>
                </c:pt>
                <c:pt idx="12">
                  <c:v>52.684258416742495</c:v>
                </c:pt>
                <c:pt idx="13">
                  <c:v>35.041666666666664</c:v>
                </c:pt>
                <c:pt idx="14">
                  <c:v>48.151191454396056</c:v>
                </c:pt>
                <c:pt idx="15">
                  <c:v>29.507364144235652</c:v>
                </c:pt>
                <c:pt idx="16">
                  <c:v>44.562334217506631</c:v>
                </c:pt>
                <c:pt idx="17">
                  <c:v>32.345876701361092</c:v>
                </c:pt>
                <c:pt idx="18">
                  <c:v>48.951048951048953</c:v>
                </c:pt>
                <c:pt idx="19">
                  <c:v>36.920222634508349</c:v>
                </c:pt>
                <c:pt idx="20">
                  <c:v>26.006528835690968</c:v>
                </c:pt>
                <c:pt idx="21">
                  <c:v>47.85954785954786</c:v>
                </c:pt>
                <c:pt idx="22">
                  <c:v>33.137697516930025</c:v>
                </c:pt>
                <c:pt idx="23">
                  <c:v>37.266187050359711</c:v>
                </c:pt>
                <c:pt idx="24">
                  <c:v>31.379462318201853</c:v>
                </c:pt>
                <c:pt idx="25">
                  <c:v>38.636363636363633</c:v>
                </c:pt>
                <c:pt idx="26">
                  <c:v>47.569444444444443</c:v>
                </c:pt>
                <c:pt idx="27">
                  <c:v>43.30472103004292</c:v>
                </c:pt>
                <c:pt idx="28">
                  <c:v>48.960216998191683</c:v>
                </c:pt>
                <c:pt idx="29">
                  <c:v>34.414106939704212</c:v>
                </c:pt>
                <c:pt idx="30">
                  <c:v>41.391614629794823</c:v>
                </c:pt>
                <c:pt idx="31">
                  <c:v>30.035971223021583</c:v>
                </c:pt>
                <c:pt idx="32">
                  <c:v>37.808641975308639</c:v>
                </c:pt>
                <c:pt idx="33">
                  <c:v>95.27145359019265</c:v>
                </c:pt>
                <c:pt idx="34">
                  <c:v>43.419689119170982</c:v>
                </c:pt>
                <c:pt idx="35">
                  <c:v>59.961904761904762</c:v>
                </c:pt>
                <c:pt idx="36">
                  <c:v>80.892103676913806</c:v>
                </c:pt>
                <c:pt idx="37">
                  <c:v>37.891440501043839</c:v>
                </c:pt>
                <c:pt idx="38">
                  <c:v>40.490081680280049</c:v>
                </c:pt>
                <c:pt idx="39">
                  <c:v>40.014164305949009</c:v>
                </c:pt>
                <c:pt idx="40">
                  <c:v>35.019646365422396</c:v>
                </c:pt>
                <c:pt idx="41">
                  <c:v>30.76923076923077</c:v>
                </c:pt>
                <c:pt idx="42">
                  <c:v>34.175334323922733</c:v>
                </c:pt>
                <c:pt idx="43">
                  <c:v>34.108527131782942</c:v>
                </c:pt>
                <c:pt idx="44">
                  <c:v>66.542133665421332</c:v>
                </c:pt>
                <c:pt idx="45">
                  <c:v>77.573904179408771</c:v>
                </c:pt>
                <c:pt idx="46">
                  <c:v>64.759725400457668</c:v>
                </c:pt>
                <c:pt idx="47">
                  <c:v>40.934579439252339</c:v>
                </c:pt>
                <c:pt idx="48">
                  <c:v>46.253229974160206</c:v>
                </c:pt>
                <c:pt idx="49">
                  <c:v>54.984354045596781</c:v>
                </c:pt>
                <c:pt idx="50">
                  <c:v>40.935672514619881</c:v>
                </c:pt>
                <c:pt idx="51">
                  <c:v>37.672465506898618</c:v>
                </c:pt>
                <c:pt idx="52">
                  <c:v>42.771804062126641</c:v>
                </c:pt>
                <c:pt idx="53">
                  <c:v>78.285714285714292</c:v>
                </c:pt>
                <c:pt idx="54">
                  <c:v>33.782267115600447</c:v>
                </c:pt>
                <c:pt idx="55">
                  <c:v>33.562113932738505</c:v>
                </c:pt>
                <c:pt idx="56">
                  <c:v>43.99198931909212</c:v>
                </c:pt>
                <c:pt idx="57">
                  <c:v>35.322822822822822</c:v>
                </c:pt>
                <c:pt idx="58">
                  <c:v>28.550983899821109</c:v>
                </c:pt>
                <c:pt idx="59">
                  <c:v>40.453323088743758</c:v>
                </c:pt>
                <c:pt idx="60">
                  <c:v>38.582677165354333</c:v>
                </c:pt>
                <c:pt idx="61">
                  <c:v>44.122298365840798</c:v>
                </c:pt>
                <c:pt idx="62">
                  <c:v>26.386138613861387</c:v>
                </c:pt>
                <c:pt idx="63">
                  <c:v>26.959247648902821</c:v>
                </c:pt>
                <c:pt idx="64">
                  <c:v>29.1156462585034</c:v>
                </c:pt>
                <c:pt idx="65">
                  <c:v>57.634902411021812</c:v>
                </c:pt>
                <c:pt idx="66">
                  <c:v>64.978902953586498</c:v>
                </c:pt>
                <c:pt idx="67">
                  <c:v>51.035502958579883</c:v>
                </c:pt>
                <c:pt idx="68">
                  <c:v>46.972972972972975</c:v>
                </c:pt>
                <c:pt idx="69">
                  <c:v>52.648138437336129</c:v>
                </c:pt>
                <c:pt idx="70">
                  <c:v>36.752827140549272</c:v>
                </c:pt>
                <c:pt idx="71">
                  <c:v>41.978609625668447</c:v>
                </c:pt>
                <c:pt idx="72">
                  <c:v>40.397350993377486</c:v>
                </c:pt>
                <c:pt idx="73">
                  <c:v>22.40990990990991</c:v>
                </c:pt>
                <c:pt idx="74">
                  <c:v>34.809160305343511</c:v>
                </c:pt>
                <c:pt idx="75">
                  <c:v>51.278195488721806</c:v>
                </c:pt>
                <c:pt idx="76">
                  <c:v>54.563297350343476</c:v>
                </c:pt>
                <c:pt idx="77">
                  <c:v>60.084033613445378</c:v>
                </c:pt>
                <c:pt idx="78">
                  <c:v>50.821827744904667</c:v>
                </c:pt>
                <c:pt idx="79">
                  <c:v>40.422535211267608</c:v>
                </c:pt>
                <c:pt idx="80">
                  <c:v>51.540983606557376</c:v>
                </c:pt>
                <c:pt idx="81">
                  <c:v>40.625</c:v>
                </c:pt>
                <c:pt idx="82">
                  <c:v>47.904811174340402</c:v>
                </c:pt>
                <c:pt idx="83">
                  <c:v>43.352883675464319</c:v>
                </c:pt>
                <c:pt idx="84">
                  <c:v>40.621336459554513</c:v>
                </c:pt>
                <c:pt idx="85">
                  <c:v>39.648093841642229</c:v>
                </c:pt>
                <c:pt idx="86">
                  <c:v>44.669718770438195</c:v>
                </c:pt>
                <c:pt idx="87">
                  <c:v>35.388888888888886</c:v>
                </c:pt>
                <c:pt idx="88">
                  <c:v>35.514018691588788</c:v>
                </c:pt>
                <c:pt idx="89">
                  <c:v>44.083291010665313</c:v>
                </c:pt>
                <c:pt idx="90">
                  <c:v>49.188906331763476</c:v>
                </c:pt>
                <c:pt idx="91">
                  <c:v>51.062537947783852</c:v>
                </c:pt>
                <c:pt idx="92">
                  <c:v>54.863221884498479</c:v>
                </c:pt>
                <c:pt idx="93">
                  <c:v>63.973344439816742</c:v>
                </c:pt>
                <c:pt idx="94">
                  <c:v>66.090611863615138</c:v>
                </c:pt>
                <c:pt idx="95">
                  <c:v>64.959349593495929</c:v>
                </c:pt>
                <c:pt idx="96">
                  <c:v>53.224043715846996</c:v>
                </c:pt>
                <c:pt idx="97">
                  <c:v>47.465437788018434</c:v>
                </c:pt>
                <c:pt idx="98">
                  <c:v>52.964169381107489</c:v>
                </c:pt>
                <c:pt idx="99">
                  <c:v>31.266540642722116</c:v>
                </c:pt>
                <c:pt idx="100">
                  <c:v>36.172295643661279</c:v>
                </c:pt>
                <c:pt idx="101">
                  <c:v>55.275443510737631</c:v>
                </c:pt>
                <c:pt idx="102">
                  <c:v>56.983805668016196</c:v>
                </c:pt>
                <c:pt idx="103">
                  <c:v>100</c:v>
                </c:pt>
                <c:pt idx="104">
                  <c:v>90.865384615384613</c:v>
                </c:pt>
                <c:pt idx="105">
                  <c:v>45.037292025243829</c:v>
                </c:pt>
                <c:pt idx="106">
                  <c:v>34.424778761061944</c:v>
                </c:pt>
                <c:pt idx="107">
                  <c:v>36.03448275862069</c:v>
                </c:pt>
                <c:pt idx="108">
                  <c:v>40.813135261923378</c:v>
                </c:pt>
                <c:pt idx="109">
                  <c:v>37.786561264822133</c:v>
                </c:pt>
                <c:pt idx="110">
                  <c:v>42.10526315789474</c:v>
                </c:pt>
                <c:pt idx="111">
                  <c:v>39.198131568703779</c:v>
                </c:pt>
                <c:pt idx="112">
                  <c:v>39.279869067103107</c:v>
                </c:pt>
                <c:pt idx="113">
                  <c:v>42.108890420399725</c:v>
                </c:pt>
                <c:pt idx="114">
                  <c:v>38.65336658354115</c:v>
                </c:pt>
                <c:pt idx="115">
                  <c:v>35.413899955732624</c:v>
                </c:pt>
                <c:pt idx="116">
                  <c:v>44.002151694459386</c:v>
                </c:pt>
                <c:pt idx="117">
                  <c:v>36.372360844529751</c:v>
                </c:pt>
                <c:pt idx="118">
                  <c:v>0</c:v>
                </c:pt>
                <c:pt idx="119">
                  <c:v>41.481481481481481</c:v>
                </c:pt>
                <c:pt idx="120">
                  <c:v>32.568600989653618</c:v>
                </c:pt>
                <c:pt idx="121">
                  <c:v>51.320918146383718</c:v>
                </c:pt>
                <c:pt idx="122">
                  <c:v>33.550325488232346</c:v>
                </c:pt>
                <c:pt idx="123">
                  <c:v>35.837864557587743</c:v>
                </c:pt>
                <c:pt idx="124">
                  <c:v>43.155339805825243</c:v>
                </c:pt>
                <c:pt idx="125">
                  <c:v>40.560640732265448</c:v>
                </c:pt>
                <c:pt idx="126">
                  <c:v>36.066288704753596</c:v>
                </c:pt>
                <c:pt idx="127">
                  <c:v>33.364140480591495</c:v>
                </c:pt>
                <c:pt idx="128">
                  <c:v>35.832913940613992</c:v>
                </c:pt>
                <c:pt idx="129">
                  <c:v>41.194486983154668</c:v>
                </c:pt>
                <c:pt idx="130">
                  <c:v>70.199587061252586</c:v>
                </c:pt>
                <c:pt idx="131">
                  <c:v>31.971465629053178</c:v>
                </c:pt>
                <c:pt idx="132">
                  <c:v>34.171195652173914</c:v>
                </c:pt>
                <c:pt idx="133">
                  <c:v>33.630748112560056</c:v>
                </c:pt>
                <c:pt idx="134">
                  <c:v>28.648648648648649</c:v>
                </c:pt>
                <c:pt idx="135">
                  <c:v>41.429924242424242</c:v>
                </c:pt>
                <c:pt idx="136">
                  <c:v>55.265700483091784</c:v>
                </c:pt>
                <c:pt idx="137">
                  <c:v>50.684210526315788</c:v>
                </c:pt>
                <c:pt idx="138">
                  <c:v>36.419213973799124</c:v>
                </c:pt>
                <c:pt idx="139">
                  <c:v>34.091943559399184</c:v>
                </c:pt>
                <c:pt idx="140">
                  <c:v>69.944444444444443</c:v>
                </c:pt>
                <c:pt idx="141">
                  <c:v>31.717451523545705</c:v>
                </c:pt>
                <c:pt idx="142">
                  <c:v>40.26290165530672</c:v>
                </c:pt>
                <c:pt idx="143">
                  <c:v>36.320531057373159</c:v>
                </c:pt>
                <c:pt idx="144">
                  <c:v>30.732484076433121</c:v>
                </c:pt>
                <c:pt idx="145">
                  <c:v>36.871069182389938</c:v>
                </c:pt>
                <c:pt idx="146">
                  <c:v>35.288367546432063</c:v>
                </c:pt>
                <c:pt idx="147">
                  <c:v>34.275248560962844</c:v>
                </c:pt>
                <c:pt idx="148">
                  <c:v>38.125802310654684</c:v>
                </c:pt>
                <c:pt idx="149">
                  <c:v>40.316742081447963</c:v>
                </c:pt>
                <c:pt idx="150">
                  <c:v>28.046934140802421</c:v>
                </c:pt>
                <c:pt idx="151">
                  <c:v>28.618602091359385</c:v>
                </c:pt>
                <c:pt idx="152">
                  <c:v>32.336255801959773</c:v>
                </c:pt>
                <c:pt idx="153">
                  <c:v>24.444444444444443</c:v>
                </c:pt>
                <c:pt idx="154">
                  <c:v>28.752735229759299</c:v>
                </c:pt>
                <c:pt idx="155">
                  <c:v>26.303410427283417</c:v>
                </c:pt>
                <c:pt idx="156">
                  <c:v>32.887700534759361</c:v>
                </c:pt>
                <c:pt idx="157">
                  <c:v>53.324468085106382</c:v>
                </c:pt>
                <c:pt idx="158">
                  <c:v>50.189155107187894</c:v>
                </c:pt>
                <c:pt idx="159">
                  <c:v>32.23570190641248</c:v>
                </c:pt>
                <c:pt idx="160">
                  <c:v>44.567219152854513</c:v>
                </c:pt>
                <c:pt idx="161">
                  <c:v>26.778385772913818</c:v>
                </c:pt>
                <c:pt idx="162">
                  <c:v>26.083707025411062</c:v>
                </c:pt>
                <c:pt idx="163">
                  <c:v>26.590330788804071</c:v>
                </c:pt>
                <c:pt idx="164">
                  <c:v>29.204339963833636</c:v>
                </c:pt>
                <c:pt idx="165">
                  <c:v>26.91194708557255</c:v>
                </c:pt>
                <c:pt idx="166">
                  <c:v>22.96983758700696</c:v>
                </c:pt>
                <c:pt idx="167">
                  <c:v>24.077999152183128</c:v>
                </c:pt>
                <c:pt idx="168">
                  <c:v>24.746450304259636</c:v>
                </c:pt>
                <c:pt idx="169">
                  <c:v>16.688918558077436</c:v>
                </c:pt>
                <c:pt idx="170">
                  <c:v>20.803604956815622</c:v>
                </c:pt>
                <c:pt idx="171">
                  <c:v>42.521534847298355</c:v>
                </c:pt>
                <c:pt idx="172">
                  <c:v>34.256694367497694</c:v>
                </c:pt>
                <c:pt idx="173">
                  <c:v>31.412337662337663</c:v>
                </c:pt>
                <c:pt idx="174">
                  <c:v>37.596899224806201</c:v>
                </c:pt>
                <c:pt idx="175">
                  <c:v>37.201166180758015</c:v>
                </c:pt>
                <c:pt idx="176">
                  <c:v>49.561146869514339</c:v>
                </c:pt>
                <c:pt idx="177">
                  <c:v>62.228594838181074</c:v>
                </c:pt>
                <c:pt idx="178">
                  <c:v>31.506090808416388</c:v>
                </c:pt>
                <c:pt idx="179">
                  <c:v>42.149390243902438</c:v>
                </c:pt>
                <c:pt idx="180">
                  <c:v>42.400482509047045</c:v>
                </c:pt>
                <c:pt idx="181">
                  <c:v>26.266416510318951</c:v>
                </c:pt>
              </c:numCache>
            </c:numRef>
          </c:xVal>
          <c:yVal>
            <c:numRef>
              <c:f>'Дума одномандатный'!$AN$2:$AN$183</c:f>
              <c:numCache>
                <c:formatCode>0.0</c:formatCode>
                <c:ptCount val="182"/>
                <c:pt idx="0">
                  <c:v>2.3136246786632393</c:v>
                </c:pt>
                <c:pt idx="1">
                  <c:v>1.6649323621227887</c:v>
                </c:pt>
                <c:pt idx="2">
                  <c:v>1.8484288354898337</c:v>
                </c:pt>
                <c:pt idx="3">
                  <c:v>2.8156996587030716</c:v>
                </c:pt>
                <c:pt idx="4">
                  <c:v>2.1621621621621623</c:v>
                </c:pt>
                <c:pt idx="5">
                  <c:v>1.3052208835341366</c:v>
                </c:pt>
                <c:pt idx="6">
                  <c:v>2.7075812274368229</c:v>
                </c:pt>
                <c:pt idx="7">
                  <c:v>1.0946051602814699</c:v>
                </c:pt>
                <c:pt idx="8">
                  <c:v>0.94403236682400538</c:v>
                </c:pt>
                <c:pt idx="9">
                  <c:v>1.3856812933025404</c:v>
                </c:pt>
                <c:pt idx="10">
                  <c:v>1.559792027729636</c:v>
                </c:pt>
                <c:pt idx="11">
                  <c:v>0.9375</c:v>
                </c:pt>
                <c:pt idx="12">
                  <c:v>2.245250431778929</c:v>
                </c:pt>
                <c:pt idx="13">
                  <c:v>1.78359096313912</c:v>
                </c:pt>
                <c:pt idx="14">
                  <c:v>1.1945392491467577</c:v>
                </c:pt>
                <c:pt idx="15">
                  <c:v>2.4096385542168677</c:v>
                </c:pt>
                <c:pt idx="16">
                  <c:v>4.166666666666667</c:v>
                </c:pt>
                <c:pt idx="17">
                  <c:v>2.7638190954773871</c:v>
                </c:pt>
                <c:pt idx="18">
                  <c:v>1.5476190476190477</c:v>
                </c:pt>
                <c:pt idx="19">
                  <c:v>3.0150753768844223</c:v>
                </c:pt>
                <c:pt idx="20">
                  <c:v>2.3060796645702304</c:v>
                </c:pt>
                <c:pt idx="21">
                  <c:v>1.0050251256281406</c:v>
                </c:pt>
                <c:pt idx="22">
                  <c:v>2.3160762942779289</c:v>
                </c:pt>
                <c:pt idx="23">
                  <c:v>1.9305019305019304</c:v>
                </c:pt>
                <c:pt idx="24">
                  <c:v>2.6722925457102673</c:v>
                </c:pt>
                <c:pt idx="25">
                  <c:v>1.5931372549019607</c:v>
                </c:pt>
                <c:pt idx="26">
                  <c:v>1.6684045881126173</c:v>
                </c:pt>
                <c:pt idx="27">
                  <c:v>1.6032064128256514</c:v>
                </c:pt>
                <c:pt idx="28">
                  <c:v>1.484230055658627</c:v>
                </c:pt>
                <c:pt idx="29">
                  <c:v>2.1487603305785123</c:v>
                </c:pt>
                <c:pt idx="30">
                  <c:v>2.8017241379310347</c:v>
                </c:pt>
                <c:pt idx="31">
                  <c:v>1.347305389221557</c:v>
                </c:pt>
                <c:pt idx="32">
                  <c:v>0.61349693251533743</c:v>
                </c:pt>
                <c:pt idx="33">
                  <c:v>2.7624309392265194</c:v>
                </c:pt>
                <c:pt idx="34">
                  <c:v>0.95465393794749398</c:v>
                </c:pt>
                <c:pt idx="35">
                  <c:v>1.3341804320203303</c:v>
                </c:pt>
                <c:pt idx="36">
                  <c:v>2.9061102831594634</c:v>
                </c:pt>
                <c:pt idx="37">
                  <c:v>1.6528925619834711</c:v>
                </c:pt>
                <c:pt idx="38">
                  <c:v>1.7291066282420748</c:v>
                </c:pt>
                <c:pt idx="39">
                  <c:v>1.7730496453900708</c:v>
                </c:pt>
                <c:pt idx="40">
                  <c:v>1.9033674963396778</c:v>
                </c:pt>
                <c:pt idx="41">
                  <c:v>4.6511627906976747</c:v>
                </c:pt>
                <c:pt idx="42">
                  <c:v>1.7391304347826086</c:v>
                </c:pt>
                <c:pt idx="43">
                  <c:v>1.9305019305019304</c:v>
                </c:pt>
                <c:pt idx="44">
                  <c:v>0.62383031815346224</c:v>
                </c:pt>
                <c:pt idx="45">
                  <c:v>0.65876152832674573</c:v>
                </c:pt>
                <c:pt idx="46">
                  <c:v>1.0600706713780919</c:v>
                </c:pt>
                <c:pt idx="47">
                  <c:v>3.0441400304414001</c:v>
                </c:pt>
                <c:pt idx="48">
                  <c:v>1.6759776536312849</c:v>
                </c:pt>
                <c:pt idx="49">
                  <c:v>1.4729950900163666</c:v>
                </c:pt>
                <c:pt idx="50">
                  <c:v>1.1688311688311688</c:v>
                </c:pt>
                <c:pt idx="51">
                  <c:v>1.7515923566878981</c:v>
                </c:pt>
                <c:pt idx="52">
                  <c:v>1.2569832402234637</c:v>
                </c:pt>
                <c:pt idx="53">
                  <c:v>1.2165450121654502</c:v>
                </c:pt>
                <c:pt idx="54">
                  <c:v>2.6578073089700998</c:v>
                </c:pt>
                <c:pt idx="55">
                  <c:v>4.0899795501022496</c:v>
                </c:pt>
                <c:pt idx="56">
                  <c:v>2.5796661608497722</c:v>
                </c:pt>
                <c:pt idx="57">
                  <c:v>2.3379383634431457</c:v>
                </c:pt>
                <c:pt idx="58">
                  <c:v>3.2581453634085213</c:v>
                </c:pt>
                <c:pt idx="59">
                  <c:v>1.7094017094017093</c:v>
                </c:pt>
                <c:pt idx="60">
                  <c:v>2.7732463295269167</c:v>
                </c:pt>
                <c:pt idx="61">
                  <c:v>2.3894862604540026</c:v>
                </c:pt>
                <c:pt idx="62">
                  <c:v>3.3771106941838651</c:v>
                </c:pt>
                <c:pt idx="63">
                  <c:v>2.9069767441860463</c:v>
                </c:pt>
                <c:pt idx="64">
                  <c:v>1.8691588785046729</c:v>
                </c:pt>
                <c:pt idx="65">
                  <c:v>1.7298735861610113</c:v>
                </c:pt>
                <c:pt idx="66">
                  <c:v>2.1645021645021645</c:v>
                </c:pt>
                <c:pt idx="67">
                  <c:v>3.1884057971014492</c:v>
                </c:pt>
                <c:pt idx="68">
                  <c:v>1.4959723820483315</c:v>
                </c:pt>
                <c:pt idx="69">
                  <c:v>2.3904382470119523</c:v>
                </c:pt>
                <c:pt idx="70">
                  <c:v>2.4175824175824174</c:v>
                </c:pt>
                <c:pt idx="71">
                  <c:v>1.7021276595744681</c:v>
                </c:pt>
                <c:pt idx="72">
                  <c:v>2.6666666666666665</c:v>
                </c:pt>
                <c:pt idx="73">
                  <c:v>3.2663316582914574</c:v>
                </c:pt>
                <c:pt idx="74">
                  <c:v>2.2026431718061672</c:v>
                </c:pt>
                <c:pt idx="75">
                  <c:v>1.466275659824047</c:v>
                </c:pt>
                <c:pt idx="76">
                  <c:v>0.89928057553956831</c:v>
                </c:pt>
                <c:pt idx="77">
                  <c:v>1.1326860841423949</c:v>
                </c:pt>
                <c:pt idx="78">
                  <c:v>1.1642949547218628</c:v>
                </c:pt>
                <c:pt idx="79">
                  <c:v>2.4390243902439024</c:v>
                </c:pt>
                <c:pt idx="80">
                  <c:v>1.3994910941475827</c:v>
                </c:pt>
                <c:pt idx="81">
                  <c:v>1.8394648829431439</c:v>
                </c:pt>
                <c:pt idx="82">
                  <c:v>3.6836403033586134</c:v>
                </c:pt>
                <c:pt idx="83">
                  <c:v>2.142051860202931</c:v>
                </c:pt>
                <c:pt idx="84">
                  <c:v>2.8901734104046244</c:v>
                </c:pt>
                <c:pt idx="85">
                  <c:v>1.6272189349112427</c:v>
                </c:pt>
                <c:pt idx="86">
                  <c:v>1.7569546120058566</c:v>
                </c:pt>
                <c:pt idx="87">
                  <c:v>2.3547880690737832</c:v>
                </c:pt>
                <c:pt idx="88">
                  <c:v>2.7777777777777777</c:v>
                </c:pt>
                <c:pt idx="89">
                  <c:v>1.2672811059907834</c:v>
                </c:pt>
                <c:pt idx="90">
                  <c:v>1.4893617021276595</c:v>
                </c:pt>
                <c:pt idx="91">
                  <c:v>2.2592152199762188</c:v>
                </c:pt>
                <c:pt idx="92">
                  <c:v>0.69252077562326875</c:v>
                </c:pt>
                <c:pt idx="93">
                  <c:v>0.71614583333333337</c:v>
                </c:pt>
                <c:pt idx="94">
                  <c:v>2.1231422505307855</c:v>
                </c:pt>
                <c:pt idx="95">
                  <c:v>0.5494505494505495</c:v>
                </c:pt>
                <c:pt idx="96">
                  <c:v>1.6427104722792607</c:v>
                </c:pt>
                <c:pt idx="97">
                  <c:v>1.5004413062665489</c:v>
                </c:pt>
                <c:pt idx="98">
                  <c:v>0.98400984009840098</c:v>
                </c:pt>
                <c:pt idx="99">
                  <c:v>2.0556227327690446</c:v>
                </c:pt>
                <c:pt idx="100">
                  <c:v>2.1650879566982408</c:v>
                </c:pt>
                <c:pt idx="101">
                  <c:v>1.4358108108108107</c:v>
                </c:pt>
                <c:pt idx="102">
                  <c:v>1.6042780748663101</c:v>
                </c:pt>
                <c:pt idx="103">
                  <c:v>0.56818181818181823</c:v>
                </c:pt>
                <c:pt idx="104">
                  <c:v>3.3333333333333335</c:v>
                </c:pt>
                <c:pt idx="105">
                  <c:v>1.910828025477707</c:v>
                </c:pt>
                <c:pt idx="106">
                  <c:v>0.51413881748071977</c:v>
                </c:pt>
                <c:pt idx="107">
                  <c:v>1.3157894736842106</c:v>
                </c:pt>
                <c:pt idx="108">
                  <c:v>2.3032629558541267</c:v>
                </c:pt>
                <c:pt idx="109">
                  <c:v>2.510460251046025</c:v>
                </c:pt>
                <c:pt idx="110">
                  <c:v>2.4556616643929057</c:v>
                </c:pt>
                <c:pt idx="111">
                  <c:v>1.6546018614270941</c:v>
                </c:pt>
                <c:pt idx="112">
                  <c:v>1.8907563025210083</c:v>
                </c:pt>
                <c:pt idx="113">
                  <c:v>1.3093289689034371</c:v>
                </c:pt>
                <c:pt idx="114">
                  <c:v>1.5053763440860215</c:v>
                </c:pt>
                <c:pt idx="115">
                  <c:v>1.75</c:v>
                </c:pt>
                <c:pt idx="116">
                  <c:v>1.9631901840490797</c:v>
                </c:pt>
                <c:pt idx="117">
                  <c:v>2.6385224274406331</c:v>
                </c:pt>
                <c:pt idx="118">
                  <c:v>0</c:v>
                </c:pt>
                <c:pt idx="119">
                  <c:v>1.7874875868917577</c:v>
                </c:pt>
                <c:pt idx="120">
                  <c:v>2.6243093922651934</c:v>
                </c:pt>
                <c:pt idx="121">
                  <c:v>1.350210970464135</c:v>
                </c:pt>
                <c:pt idx="122">
                  <c:v>1.791044776119403</c:v>
                </c:pt>
                <c:pt idx="123">
                  <c:v>2.2222222222222223</c:v>
                </c:pt>
                <c:pt idx="124">
                  <c:v>1.6029593094944512</c:v>
                </c:pt>
                <c:pt idx="125">
                  <c:v>2.2566995768688294</c:v>
                </c:pt>
                <c:pt idx="126">
                  <c:v>2.6602176541717051</c:v>
                </c:pt>
                <c:pt idx="127">
                  <c:v>1.3850415512465375</c:v>
                </c:pt>
                <c:pt idx="128">
                  <c:v>1.8258426966292134</c:v>
                </c:pt>
                <c:pt idx="129">
                  <c:v>1.6728624535315986</c:v>
                </c:pt>
                <c:pt idx="130">
                  <c:v>3.0660377358490565</c:v>
                </c:pt>
                <c:pt idx="131">
                  <c:v>2.4844720496894408</c:v>
                </c:pt>
                <c:pt idx="132">
                  <c:v>3.3797216699801194</c:v>
                </c:pt>
                <c:pt idx="133">
                  <c:v>1.6326530612244898</c:v>
                </c:pt>
                <c:pt idx="134">
                  <c:v>2.2641509433962264</c:v>
                </c:pt>
                <c:pt idx="135">
                  <c:v>2.9714285714285715</c:v>
                </c:pt>
                <c:pt idx="136">
                  <c:v>2.6223776223776225</c:v>
                </c:pt>
                <c:pt idx="137">
                  <c:v>0.83160083160083165</c:v>
                </c:pt>
                <c:pt idx="138">
                  <c:v>1.9900497512437811</c:v>
                </c:pt>
                <c:pt idx="139">
                  <c:v>2.677376171352075</c:v>
                </c:pt>
                <c:pt idx="140">
                  <c:v>0.95313741064336777</c:v>
                </c:pt>
                <c:pt idx="141">
                  <c:v>2.3289665211062589</c:v>
                </c:pt>
                <c:pt idx="142">
                  <c:v>1.3447432762836187</c:v>
                </c:pt>
                <c:pt idx="143">
                  <c:v>1.0443864229765014</c:v>
                </c:pt>
                <c:pt idx="144">
                  <c:v>2.0725388601036268</c:v>
                </c:pt>
                <c:pt idx="145">
                  <c:v>4.0511727078891262</c:v>
                </c:pt>
                <c:pt idx="146">
                  <c:v>1.3850415512465375</c:v>
                </c:pt>
                <c:pt idx="147">
                  <c:v>2.5954198473282442</c:v>
                </c:pt>
                <c:pt idx="148">
                  <c:v>2.705749718151071</c:v>
                </c:pt>
                <c:pt idx="149">
                  <c:v>2.6936026936026938</c:v>
                </c:pt>
                <c:pt idx="150">
                  <c:v>1.8893387314439947</c:v>
                </c:pt>
                <c:pt idx="151">
                  <c:v>3.4682080924855492</c:v>
                </c:pt>
                <c:pt idx="152">
                  <c:v>3.0303030303030303</c:v>
                </c:pt>
                <c:pt idx="153">
                  <c:v>2.1739130434782608</c:v>
                </c:pt>
                <c:pt idx="154">
                  <c:v>2.7397260273972601</c:v>
                </c:pt>
                <c:pt idx="155">
                  <c:v>2.9806259314456036</c:v>
                </c:pt>
                <c:pt idx="156">
                  <c:v>1.8292682926829269</c:v>
                </c:pt>
                <c:pt idx="157">
                  <c:v>1.25</c:v>
                </c:pt>
                <c:pt idx="158">
                  <c:v>2.8871391076115485</c:v>
                </c:pt>
                <c:pt idx="159">
                  <c:v>1.4519056261343013</c:v>
                </c:pt>
                <c:pt idx="160">
                  <c:v>0.41322314049586778</c:v>
                </c:pt>
                <c:pt idx="161">
                  <c:v>3.0544488711819389</c:v>
                </c:pt>
                <c:pt idx="162">
                  <c:v>4.1606886657101869</c:v>
                </c:pt>
                <c:pt idx="163">
                  <c:v>4.6251993620414673</c:v>
                </c:pt>
                <c:pt idx="164">
                  <c:v>2.7863777089783284</c:v>
                </c:pt>
                <c:pt idx="165">
                  <c:v>2.7649769585253456</c:v>
                </c:pt>
                <c:pt idx="166">
                  <c:v>4.0650406504065044</c:v>
                </c:pt>
                <c:pt idx="167">
                  <c:v>1.9469026548672566</c:v>
                </c:pt>
                <c:pt idx="168">
                  <c:v>2.8688524590163933</c:v>
                </c:pt>
                <c:pt idx="169">
                  <c:v>4.2016806722689077</c:v>
                </c:pt>
                <c:pt idx="170">
                  <c:v>3.0685920577617329</c:v>
                </c:pt>
                <c:pt idx="171">
                  <c:v>3.1307550644567219</c:v>
                </c:pt>
                <c:pt idx="172">
                  <c:v>4.0431266846361185</c:v>
                </c:pt>
                <c:pt idx="173">
                  <c:v>3.1007751937984498</c:v>
                </c:pt>
                <c:pt idx="174">
                  <c:v>4.1237113402061851</c:v>
                </c:pt>
                <c:pt idx="175">
                  <c:v>3.8394415357766145</c:v>
                </c:pt>
                <c:pt idx="176">
                  <c:v>2.2432113341204252</c:v>
                </c:pt>
                <c:pt idx="177">
                  <c:v>0.9874917709019092</c:v>
                </c:pt>
                <c:pt idx="178">
                  <c:v>2.1089630931458698</c:v>
                </c:pt>
                <c:pt idx="179">
                  <c:v>0.54249547920433994</c:v>
                </c:pt>
                <c:pt idx="180">
                  <c:v>0.28449502133712662</c:v>
                </c:pt>
                <c:pt idx="181">
                  <c:v>1.4285714285714286</c:v>
                </c:pt>
              </c:numCache>
            </c:numRef>
          </c:yVal>
          <c:bubbleSize>
            <c:numRef>
              <c:f>'Дума одномандатный'!$J$2:$J$183</c:f>
              <c:numCache>
                <c:formatCode>General</c:formatCode>
                <c:ptCount val="182"/>
                <c:pt idx="0">
                  <c:v>2451</c:v>
                </c:pt>
                <c:pt idx="1">
                  <c:v>1779</c:v>
                </c:pt>
                <c:pt idx="2">
                  <c:v>1942</c:v>
                </c:pt>
                <c:pt idx="3">
                  <c:v>2100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377</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2224</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981</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176</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2210</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2924</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0-4231-4C48-B503-8A820FF1CB64}"/>
            </c:ext>
          </c:extLst>
        </c:ser>
        <c:ser>
          <c:idx val="14"/>
          <c:order val="7"/>
          <c:tx>
            <c:strRef>
              <c:f>'Дума одномандатный'!$AP$1</c:f>
              <c:strCache>
                <c:ptCount val="1"/>
                <c:pt idx="0">
                  <c:v>Теняев (КПРФ)</c:v>
                </c:pt>
              </c:strCache>
            </c:strRef>
          </c:tx>
          <c:spPr>
            <a:solidFill>
              <a:srgbClr val="FF0000">
                <a:alpha val="50196"/>
              </a:srgbClr>
            </a:solidFill>
            <a:ln w="25400">
              <a:noFill/>
            </a:ln>
            <a:effectLst/>
          </c:spPr>
          <c:invertIfNegative val="0"/>
          <c:xVal>
            <c:numRef>
              <c:f>'Дума одномандатный'!$O$2:$O$183</c:f>
              <c:numCache>
                <c:formatCode>0.0</c:formatCode>
                <c:ptCount val="182"/>
                <c:pt idx="0">
                  <c:v>63.484292125662996</c:v>
                </c:pt>
                <c:pt idx="1">
                  <c:v>54.187745924676783</c:v>
                </c:pt>
                <c:pt idx="2">
                  <c:v>55.818743563336767</c:v>
                </c:pt>
                <c:pt idx="3">
                  <c:v>56</c:v>
                </c:pt>
                <c:pt idx="4">
                  <c:v>49.812130971551262</c:v>
                </c:pt>
                <c:pt idx="5">
                  <c:v>51.432958034800407</c:v>
                </c:pt>
                <c:pt idx="6">
                  <c:v>56.158134820070956</c:v>
                </c:pt>
                <c:pt idx="7">
                  <c:v>71.452328159645234</c:v>
                </c:pt>
                <c:pt idx="8">
                  <c:v>73.707753479125245</c:v>
                </c:pt>
                <c:pt idx="9">
                  <c:v>37.016574585635361</c:v>
                </c:pt>
                <c:pt idx="10">
                  <c:v>25.407309555262</c:v>
                </c:pt>
                <c:pt idx="11">
                  <c:v>72.562358276643991</c:v>
                </c:pt>
                <c:pt idx="12">
                  <c:v>52.684258416742495</c:v>
                </c:pt>
                <c:pt idx="13">
                  <c:v>35.041666666666664</c:v>
                </c:pt>
                <c:pt idx="14">
                  <c:v>48.151191454396056</c:v>
                </c:pt>
                <c:pt idx="15">
                  <c:v>29.507364144235652</c:v>
                </c:pt>
                <c:pt idx="16">
                  <c:v>44.562334217506631</c:v>
                </c:pt>
                <c:pt idx="17">
                  <c:v>32.345876701361092</c:v>
                </c:pt>
                <c:pt idx="18">
                  <c:v>48.951048951048953</c:v>
                </c:pt>
                <c:pt idx="19">
                  <c:v>36.920222634508349</c:v>
                </c:pt>
                <c:pt idx="20">
                  <c:v>26.006528835690968</c:v>
                </c:pt>
                <c:pt idx="21">
                  <c:v>47.85954785954786</c:v>
                </c:pt>
                <c:pt idx="22">
                  <c:v>33.137697516930025</c:v>
                </c:pt>
                <c:pt idx="23">
                  <c:v>37.266187050359711</c:v>
                </c:pt>
                <c:pt idx="24">
                  <c:v>31.379462318201853</c:v>
                </c:pt>
                <c:pt idx="25">
                  <c:v>38.636363636363633</c:v>
                </c:pt>
                <c:pt idx="26">
                  <c:v>47.569444444444443</c:v>
                </c:pt>
                <c:pt idx="27">
                  <c:v>43.30472103004292</c:v>
                </c:pt>
                <c:pt idx="28">
                  <c:v>48.960216998191683</c:v>
                </c:pt>
                <c:pt idx="29">
                  <c:v>34.414106939704212</c:v>
                </c:pt>
                <c:pt idx="30">
                  <c:v>41.391614629794823</c:v>
                </c:pt>
                <c:pt idx="31">
                  <c:v>30.035971223021583</c:v>
                </c:pt>
                <c:pt idx="32">
                  <c:v>37.808641975308639</c:v>
                </c:pt>
                <c:pt idx="33">
                  <c:v>95.27145359019265</c:v>
                </c:pt>
                <c:pt idx="34">
                  <c:v>43.419689119170982</c:v>
                </c:pt>
                <c:pt idx="35">
                  <c:v>59.961904761904762</c:v>
                </c:pt>
                <c:pt idx="36">
                  <c:v>80.892103676913806</c:v>
                </c:pt>
                <c:pt idx="37">
                  <c:v>37.891440501043839</c:v>
                </c:pt>
                <c:pt idx="38">
                  <c:v>40.490081680280049</c:v>
                </c:pt>
                <c:pt idx="39">
                  <c:v>40.014164305949009</c:v>
                </c:pt>
                <c:pt idx="40">
                  <c:v>35.019646365422396</c:v>
                </c:pt>
                <c:pt idx="41">
                  <c:v>30.76923076923077</c:v>
                </c:pt>
                <c:pt idx="42">
                  <c:v>34.175334323922733</c:v>
                </c:pt>
                <c:pt idx="43">
                  <c:v>34.108527131782942</c:v>
                </c:pt>
                <c:pt idx="44">
                  <c:v>66.542133665421332</c:v>
                </c:pt>
                <c:pt idx="45">
                  <c:v>77.573904179408771</c:v>
                </c:pt>
                <c:pt idx="46">
                  <c:v>64.759725400457668</c:v>
                </c:pt>
                <c:pt idx="47">
                  <c:v>40.934579439252339</c:v>
                </c:pt>
                <c:pt idx="48">
                  <c:v>46.253229974160206</c:v>
                </c:pt>
                <c:pt idx="49">
                  <c:v>54.984354045596781</c:v>
                </c:pt>
                <c:pt idx="50">
                  <c:v>40.935672514619881</c:v>
                </c:pt>
                <c:pt idx="51">
                  <c:v>37.672465506898618</c:v>
                </c:pt>
                <c:pt idx="52">
                  <c:v>42.771804062126641</c:v>
                </c:pt>
                <c:pt idx="53">
                  <c:v>78.285714285714292</c:v>
                </c:pt>
                <c:pt idx="54">
                  <c:v>33.782267115600447</c:v>
                </c:pt>
                <c:pt idx="55">
                  <c:v>33.562113932738505</c:v>
                </c:pt>
                <c:pt idx="56">
                  <c:v>43.99198931909212</c:v>
                </c:pt>
                <c:pt idx="57">
                  <c:v>35.322822822822822</c:v>
                </c:pt>
                <c:pt idx="58">
                  <c:v>28.550983899821109</c:v>
                </c:pt>
                <c:pt idx="59">
                  <c:v>40.453323088743758</c:v>
                </c:pt>
                <c:pt idx="60">
                  <c:v>38.582677165354333</c:v>
                </c:pt>
                <c:pt idx="61">
                  <c:v>44.122298365840798</c:v>
                </c:pt>
                <c:pt idx="62">
                  <c:v>26.386138613861387</c:v>
                </c:pt>
                <c:pt idx="63">
                  <c:v>26.959247648902821</c:v>
                </c:pt>
                <c:pt idx="64">
                  <c:v>29.1156462585034</c:v>
                </c:pt>
                <c:pt idx="65">
                  <c:v>57.634902411021812</c:v>
                </c:pt>
                <c:pt idx="66">
                  <c:v>64.978902953586498</c:v>
                </c:pt>
                <c:pt idx="67">
                  <c:v>51.035502958579883</c:v>
                </c:pt>
                <c:pt idx="68">
                  <c:v>46.972972972972975</c:v>
                </c:pt>
                <c:pt idx="69">
                  <c:v>52.648138437336129</c:v>
                </c:pt>
                <c:pt idx="70">
                  <c:v>36.752827140549272</c:v>
                </c:pt>
                <c:pt idx="71">
                  <c:v>41.978609625668447</c:v>
                </c:pt>
                <c:pt idx="72">
                  <c:v>40.397350993377486</c:v>
                </c:pt>
                <c:pt idx="73">
                  <c:v>22.40990990990991</c:v>
                </c:pt>
                <c:pt idx="74">
                  <c:v>34.809160305343511</c:v>
                </c:pt>
                <c:pt idx="75">
                  <c:v>51.278195488721806</c:v>
                </c:pt>
                <c:pt idx="76">
                  <c:v>54.563297350343476</c:v>
                </c:pt>
                <c:pt idx="77">
                  <c:v>60.084033613445378</c:v>
                </c:pt>
                <c:pt idx="78">
                  <c:v>50.821827744904667</c:v>
                </c:pt>
                <c:pt idx="79">
                  <c:v>40.422535211267608</c:v>
                </c:pt>
                <c:pt idx="80">
                  <c:v>51.540983606557376</c:v>
                </c:pt>
                <c:pt idx="81">
                  <c:v>40.625</c:v>
                </c:pt>
                <c:pt idx="82">
                  <c:v>47.904811174340402</c:v>
                </c:pt>
                <c:pt idx="83">
                  <c:v>43.352883675464319</c:v>
                </c:pt>
                <c:pt idx="84">
                  <c:v>40.621336459554513</c:v>
                </c:pt>
                <c:pt idx="85">
                  <c:v>39.648093841642229</c:v>
                </c:pt>
                <c:pt idx="86">
                  <c:v>44.669718770438195</c:v>
                </c:pt>
                <c:pt idx="87">
                  <c:v>35.388888888888886</c:v>
                </c:pt>
                <c:pt idx="88">
                  <c:v>35.514018691588788</c:v>
                </c:pt>
                <c:pt idx="89">
                  <c:v>44.083291010665313</c:v>
                </c:pt>
                <c:pt idx="90">
                  <c:v>49.188906331763476</c:v>
                </c:pt>
                <c:pt idx="91">
                  <c:v>51.062537947783852</c:v>
                </c:pt>
                <c:pt idx="92">
                  <c:v>54.863221884498479</c:v>
                </c:pt>
                <c:pt idx="93">
                  <c:v>63.973344439816742</c:v>
                </c:pt>
                <c:pt idx="94">
                  <c:v>66.090611863615138</c:v>
                </c:pt>
                <c:pt idx="95">
                  <c:v>64.959349593495929</c:v>
                </c:pt>
                <c:pt idx="96">
                  <c:v>53.224043715846996</c:v>
                </c:pt>
                <c:pt idx="97">
                  <c:v>47.465437788018434</c:v>
                </c:pt>
                <c:pt idx="98">
                  <c:v>52.964169381107489</c:v>
                </c:pt>
                <c:pt idx="99">
                  <c:v>31.266540642722116</c:v>
                </c:pt>
                <c:pt idx="100">
                  <c:v>36.172295643661279</c:v>
                </c:pt>
                <c:pt idx="101">
                  <c:v>55.275443510737631</c:v>
                </c:pt>
                <c:pt idx="102">
                  <c:v>56.983805668016196</c:v>
                </c:pt>
                <c:pt idx="103">
                  <c:v>100</c:v>
                </c:pt>
                <c:pt idx="104">
                  <c:v>90.865384615384613</c:v>
                </c:pt>
                <c:pt idx="105">
                  <c:v>45.037292025243829</c:v>
                </c:pt>
                <c:pt idx="106">
                  <c:v>34.424778761061944</c:v>
                </c:pt>
                <c:pt idx="107">
                  <c:v>36.03448275862069</c:v>
                </c:pt>
                <c:pt idx="108">
                  <c:v>40.813135261923378</c:v>
                </c:pt>
                <c:pt idx="109">
                  <c:v>37.786561264822133</c:v>
                </c:pt>
                <c:pt idx="110">
                  <c:v>42.10526315789474</c:v>
                </c:pt>
                <c:pt idx="111">
                  <c:v>39.198131568703779</c:v>
                </c:pt>
                <c:pt idx="112">
                  <c:v>39.279869067103107</c:v>
                </c:pt>
                <c:pt idx="113">
                  <c:v>42.108890420399725</c:v>
                </c:pt>
                <c:pt idx="114">
                  <c:v>38.65336658354115</c:v>
                </c:pt>
                <c:pt idx="115">
                  <c:v>35.413899955732624</c:v>
                </c:pt>
                <c:pt idx="116">
                  <c:v>44.002151694459386</c:v>
                </c:pt>
                <c:pt idx="117">
                  <c:v>36.372360844529751</c:v>
                </c:pt>
                <c:pt idx="118">
                  <c:v>0</c:v>
                </c:pt>
                <c:pt idx="119">
                  <c:v>41.481481481481481</c:v>
                </c:pt>
                <c:pt idx="120">
                  <c:v>32.568600989653618</c:v>
                </c:pt>
                <c:pt idx="121">
                  <c:v>51.320918146383718</c:v>
                </c:pt>
                <c:pt idx="122">
                  <c:v>33.550325488232346</c:v>
                </c:pt>
                <c:pt idx="123">
                  <c:v>35.837864557587743</c:v>
                </c:pt>
                <c:pt idx="124">
                  <c:v>43.155339805825243</c:v>
                </c:pt>
                <c:pt idx="125">
                  <c:v>40.560640732265448</c:v>
                </c:pt>
                <c:pt idx="126">
                  <c:v>36.066288704753596</c:v>
                </c:pt>
                <c:pt idx="127">
                  <c:v>33.364140480591495</c:v>
                </c:pt>
                <c:pt idx="128">
                  <c:v>35.832913940613992</c:v>
                </c:pt>
                <c:pt idx="129">
                  <c:v>41.194486983154668</c:v>
                </c:pt>
                <c:pt idx="130">
                  <c:v>70.199587061252586</c:v>
                </c:pt>
                <c:pt idx="131">
                  <c:v>31.971465629053178</c:v>
                </c:pt>
                <c:pt idx="132">
                  <c:v>34.171195652173914</c:v>
                </c:pt>
                <c:pt idx="133">
                  <c:v>33.630748112560056</c:v>
                </c:pt>
                <c:pt idx="134">
                  <c:v>28.648648648648649</c:v>
                </c:pt>
                <c:pt idx="135">
                  <c:v>41.429924242424242</c:v>
                </c:pt>
                <c:pt idx="136">
                  <c:v>55.265700483091784</c:v>
                </c:pt>
                <c:pt idx="137">
                  <c:v>50.684210526315788</c:v>
                </c:pt>
                <c:pt idx="138">
                  <c:v>36.419213973799124</c:v>
                </c:pt>
                <c:pt idx="139">
                  <c:v>34.091943559399184</c:v>
                </c:pt>
                <c:pt idx="140">
                  <c:v>69.944444444444443</c:v>
                </c:pt>
                <c:pt idx="141">
                  <c:v>31.717451523545705</c:v>
                </c:pt>
                <c:pt idx="142">
                  <c:v>40.26290165530672</c:v>
                </c:pt>
                <c:pt idx="143">
                  <c:v>36.320531057373159</c:v>
                </c:pt>
                <c:pt idx="144">
                  <c:v>30.732484076433121</c:v>
                </c:pt>
                <c:pt idx="145">
                  <c:v>36.871069182389938</c:v>
                </c:pt>
                <c:pt idx="146">
                  <c:v>35.288367546432063</c:v>
                </c:pt>
                <c:pt idx="147">
                  <c:v>34.275248560962844</c:v>
                </c:pt>
                <c:pt idx="148">
                  <c:v>38.125802310654684</c:v>
                </c:pt>
                <c:pt idx="149">
                  <c:v>40.316742081447963</c:v>
                </c:pt>
                <c:pt idx="150">
                  <c:v>28.046934140802421</c:v>
                </c:pt>
                <c:pt idx="151">
                  <c:v>28.618602091359385</c:v>
                </c:pt>
                <c:pt idx="152">
                  <c:v>32.336255801959773</c:v>
                </c:pt>
                <c:pt idx="153">
                  <c:v>24.444444444444443</c:v>
                </c:pt>
                <c:pt idx="154">
                  <c:v>28.752735229759299</c:v>
                </c:pt>
                <c:pt idx="155">
                  <c:v>26.303410427283417</c:v>
                </c:pt>
                <c:pt idx="156">
                  <c:v>32.887700534759361</c:v>
                </c:pt>
                <c:pt idx="157">
                  <c:v>53.324468085106382</c:v>
                </c:pt>
                <c:pt idx="158">
                  <c:v>50.189155107187894</c:v>
                </c:pt>
                <c:pt idx="159">
                  <c:v>32.23570190641248</c:v>
                </c:pt>
                <c:pt idx="160">
                  <c:v>44.567219152854513</c:v>
                </c:pt>
                <c:pt idx="161">
                  <c:v>26.778385772913818</c:v>
                </c:pt>
                <c:pt idx="162">
                  <c:v>26.083707025411062</c:v>
                </c:pt>
                <c:pt idx="163">
                  <c:v>26.590330788804071</c:v>
                </c:pt>
                <c:pt idx="164">
                  <c:v>29.204339963833636</c:v>
                </c:pt>
                <c:pt idx="165">
                  <c:v>26.91194708557255</c:v>
                </c:pt>
                <c:pt idx="166">
                  <c:v>22.96983758700696</c:v>
                </c:pt>
                <c:pt idx="167">
                  <c:v>24.077999152183128</c:v>
                </c:pt>
                <c:pt idx="168">
                  <c:v>24.746450304259636</c:v>
                </c:pt>
                <c:pt idx="169">
                  <c:v>16.688918558077436</c:v>
                </c:pt>
                <c:pt idx="170">
                  <c:v>20.803604956815622</c:v>
                </c:pt>
                <c:pt idx="171">
                  <c:v>42.521534847298355</c:v>
                </c:pt>
                <c:pt idx="172">
                  <c:v>34.256694367497694</c:v>
                </c:pt>
                <c:pt idx="173">
                  <c:v>31.412337662337663</c:v>
                </c:pt>
                <c:pt idx="174">
                  <c:v>37.596899224806201</c:v>
                </c:pt>
                <c:pt idx="175">
                  <c:v>37.201166180758015</c:v>
                </c:pt>
                <c:pt idx="176">
                  <c:v>49.561146869514339</c:v>
                </c:pt>
                <c:pt idx="177">
                  <c:v>62.228594838181074</c:v>
                </c:pt>
                <c:pt idx="178">
                  <c:v>31.506090808416388</c:v>
                </c:pt>
                <c:pt idx="179">
                  <c:v>42.149390243902438</c:v>
                </c:pt>
                <c:pt idx="180">
                  <c:v>42.400482509047045</c:v>
                </c:pt>
                <c:pt idx="181">
                  <c:v>26.266416510318951</c:v>
                </c:pt>
              </c:numCache>
            </c:numRef>
          </c:xVal>
          <c:yVal>
            <c:numRef>
              <c:f>'Дума одномандатный'!$AP$2:$AP$183</c:f>
              <c:numCache>
                <c:formatCode>0.0</c:formatCode>
                <c:ptCount val="182"/>
                <c:pt idx="0">
                  <c:v>19.344473007712082</c:v>
                </c:pt>
                <c:pt idx="1">
                  <c:v>18.93860561914672</c:v>
                </c:pt>
                <c:pt idx="2">
                  <c:v>8.5951940850277264</c:v>
                </c:pt>
                <c:pt idx="3">
                  <c:v>20.477815699658702</c:v>
                </c:pt>
                <c:pt idx="4">
                  <c:v>22.486486486486488</c:v>
                </c:pt>
                <c:pt idx="5">
                  <c:v>21.08433734939759</c:v>
                </c:pt>
                <c:pt idx="6">
                  <c:v>11.732851985559567</c:v>
                </c:pt>
                <c:pt idx="7">
                  <c:v>15.715402658326818</c:v>
                </c:pt>
                <c:pt idx="8">
                  <c:v>14.025623735670937</c:v>
                </c:pt>
                <c:pt idx="9">
                  <c:v>24.249422632794456</c:v>
                </c:pt>
                <c:pt idx="10">
                  <c:v>39.861351819757367</c:v>
                </c:pt>
                <c:pt idx="11">
                  <c:v>10.9375</c:v>
                </c:pt>
                <c:pt idx="12">
                  <c:v>20.379965457685664</c:v>
                </c:pt>
                <c:pt idx="13">
                  <c:v>27.229488703923899</c:v>
                </c:pt>
                <c:pt idx="14">
                  <c:v>18.771331058020479</c:v>
                </c:pt>
                <c:pt idx="15">
                  <c:v>26.333907056798623</c:v>
                </c:pt>
                <c:pt idx="16">
                  <c:v>20.833333333333332</c:v>
                </c:pt>
                <c:pt idx="17">
                  <c:v>29.145728643216081</c:v>
                </c:pt>
                <c:pt idx="18">
                  <c:v>20.714285714285715</c:v>
                </c:pt>
                <c:pt idx="19">
                  <c:v>30.150753768844222</c:v>
                </c:pt>
                <c:pt idx="20">
                  <c:v>24.528301886792452</c:v>
                </c:pt>
                <c:pt idx="21">
                  <c:v>23.115577889447238</c:v>
                </c:pt>
                <c:pt idx="22">
                  <c:v>32.970027247956402</c:v>
                </c:pt>
                <c:pt idx="23">
                  <c:v>27.927927927927929</c:v>
                </c:pt>
                <c:pt idx="24">
                  <c:v>24.050632911392405</c:v>
                </c:pt>
                <c:pt idx="25">
                  <c:v>26.225490196078432</c:v>
                </c:pt>
                <c:pt idx="26">
                  <c:v>16.788321167883211</c:v>
                </c:pt>
                <c:pt idx="27">
                  <c:v>16.633266533066131</c:v>
                </c:pt>
                <c:pt idx="28">
                  <c:v>15.027829313543599</c:v>
                </c:pt>
                <c:pt idx="29">
                  <c:v>19.33884297520661</c:v>
                </c:pt>
                <c:pt idx="30">
                  <c:v>24.568965517241381</c:v>
                </c:pt>
                <c:pt idx="31">
                  <c:v>23.203592814371259</c:v>
                </c:pt>
                <c:pt idx="32">
                  <c:v>18.200408997955009</c:v>
                </c:pt>
                <c:pt idx="33">
                  <c:v>15.83793738489871</c:v>
                </c:pt>
                <c:pt idx="34">
                  <c:v>12.649164677804295</c:v>
                </c:pt>
                <c:pt idx="35">
                  <c:v>14.421855146124523</c:v>
                </c:pt>
                <c:pt idx="36">
                  <c:v>11.251862891207153</c:v>
                </c:pt>
                <c:pt idx="37">
                  <c:v>19.28374655647383</c:v>
                </c:pt>
                <c:pt idx="38">
                  <c:v>25.648414985590779</c:v>
                </c:pt>
                <c:pt idx="39">
                  <c:v>20.212765957446809</c:v>
                </c:pt>
                <c:pt idx="40">
                  <c:v>20.644216691068813</c:v>
                </c:pt>
                <c:pt idx="41">
                  <c:v>22.674418604651162</c:v>
                </c:pt>
                <c:pt idx="42">
                  <c:v>29.782608695652176</c:v>
                </c:pt>
                <c:pt idx="43">
                  <c:v>25.482625482625483</c:v>
                </c:pt>
                <c:pt idx="44">
                  <c:v>7.3611977542108544</c:v>
                </c:pt>
                <c:pt idx="45">
                  <c:v>3.6890645586297759</c:v>
                </c:pt>
                <c:pt idx="46">
                  <c:v>18.021201413427562</c:v>
                </c:pt>
                <c:pt idx="47">
                  <c:v>19.786910197869101</c:v>
                </c:pt>
                <c:pt idx="48">
                  <c:v>20.810055865921786</c:v>
                </c:pt>
                <c:pt idx="49">
                  <c:v>17.348608837970541</c:v>
                </c:pt>
                <c:pt idx="50">
                  <c:v>16.623376623376622</c:v>
                </c:pt>
                <c:pt idx="51">
                  <c:v>20.859872611464969</c:v>
                </c:pt>
                <c:pt idx="52">
                  <c:v>23.184357541899441</c:v>
                </c:pt>
                <c:pt idx="53">
                  <c:v>28.953771289537713</c:v>
                </c:pt>
                <c:pt idx="54">
                  <c:v>24.08637873754153</c:v>
                </c:pt>
                <c:pt idx="55">
                  <c:v>23.312883435582823</c:v>
                </c:pt>
                <c:pt idx="56">
                  <c:v>22.306525037936268</c:v>
                </c:pt>
                <c:pt idx="57">
                  <c:v>28.79914984059511</c:v>
                </c:pt>
                <c:pt idx="58">
                  <c:v>24.561403508771932</c:v>
                </c:pt>
                <c:pt idx="59">
                  <c:v>23.076923076923077</c:v>
                </c:pt>
                <c:pt idx="60">
                  <c:v>31.810766721044047</c:v>
                </c:pt>
                <c:pt idx="61">
                  <c:v>17.801672640382318</c:v>
                </c:pt>
                <c:pt idx="62">
                  <c:v>25.140712945590995</c:v>
                </c:pt>
                <c:pt idx="63">
                  <c:v>43.02325581395349</c:v>
                </c:pt>
                <c:pt idx="64">
                  <c:v>39.953271028037385</c:v>
                </c:pt>
                <c:pt idx="65">
                  <c:v>18.89554224883566</c:v>
                </c:pt>
                <c:pt idx="66">
                  <c:v>16.883116883116884</c:v>
                </c:pt>
                <c:pt idx="67">
                  <c:v>23.188405797101449</c:v>
                </c:pt>
                <c:pt idx="68">
                  <c:v>21.634062140391254</c:v>
                </c:pt>
                <c:pt idx="69">
                  <c:v>25.498007968127489</c:v>
                </c:pt>
                <c:pt idx="70">
                  <c:v>22.857142857142858</c:v>
                </c:pt>
                <c:pt idx="71">
                  <c:v>21.702127659574469</c:v>
                </c:pt>
                <c:pt idx="72">
                  <c:v>21.833333333333332</c:v>
                </c:pt>
                <c:pt idx="73">
                  <c:v>30.150753768844222</c:v>
                </c:pt>
                <c:pt idx="74">
                  <c:v>34.801762114537446</c:v>
                </c:pt>
                <c:pt idx="75">
                  <c:v>24.780058651026394</c:v>
                </c:pt>
                <c:pt idx="76">
                  <c:v>17.535971223021583</c:v>
                </c:pt>
                <c:pt idx="77">
                  <c:v>14.563106796116505</c:v>
                </c:pt>
                <c:pt idx="78">
                  <c:v>14.877102199223803</c:v>
                </c:pt>
                <c:pt idx="79">
                  <c:v>18.466898954703833</c:v>
                </c:pt>
                <c:pt idx="80">
                  <c:v>20.229007633587788</c:v>
                </c:pt>
                <c:pt idx="81">
                  <c:v>24.916387959866221</c:v>
                </c:pt>
                <c:pt idx="82">
                  <c:v>15.926327193932828</c:v>
                </c:pt>
                <c:pt idx="83">
                  <c:v>23.337091319052988</c:v>
                </c:pt>
                <c:pt idx="84">
                  <c:v>23.410404624277458</c:v>
                </c:pt>
                <c:pt idx="85">
                  <c:v>25.443786982248522</c:v>
                </c:pt>
                <c:pt idx="86">
                  <c:v>21.229868228404101</c:v>
                </c:pt>
                <c:pt idx="87">
                  <c:v>22.135007849293565</c:v>
                </c:pt>
                <c:pt idx="88">
                  <c:v>30.4093567251462</c:v>
                </c:pt>
                <c:pt idx="89">
                  <c:v>22.695852534562214</c:v>
                </c:pt>
                <c:pt idx="90">
                  <c:v>18.936170212765958</c:v>
                </c:pt>
                <c:pt idx="91">
                  <c:v>22.116527942925089</c:v>
                </c:pt>
                <c:pt idx="92">
                  <c:v>17.174515235457065</c:v>
                </c:pt>
                <c:pt idx="93">
                  <c:v>11.1328125</c:v>
                </c:pt>
                <c:pt idx="94">
                  <c:v>11.040339702760084</c:v>
                </c:pt>
                <c:pt idx="95">
                  <c:v>18.818681318681318</c:v>
                </c:pt>
                <c:pt idx="96">
                  <c:v>19.71252566735113</c:v>
                </c:pt>
                <c:pt idx="97">
                  <c:v>20.211827007943512</c:v>
                </c:pt>
                <c:pt idx="98">
                  <c:v>18.696186961869618</c:v>
                </c:pt>
                <c:pt idx="99">
                  <c:v>25.634824667472792</c:v>
                </c:pt>
                <c:pt idx="100">
                  <c:v>29.905277401894452</c:v>
                </c:pt>
                <c:pt idx="101">
                  <c:v>18.83445945945946</c:v>
                </c:pt>
                <c:pt idx="102">
                  <c:v>13.725490196078431</c:v>
                </c:pt>
                <c:pt idx="103">
                  <c:v>7.3863636363636367</c:v>
                </c:pt>
                <c:pt idx="104">
                  <c:v>13.333333333333334</c:v>
                </c:pt>
                <c:pt idx="105">
                  <c:v>25.222929936305732</c:v>
                </c:pt>
                <c:pt idx="106">
                  <c:v>32.904884318766065</c:v>
                </c:pt>
                <c:pt idx="107">
                  <c:v>31.220095693779903</c:v>
                </c:pt>
                <c:pt idx="108">
                  <c:v>26.871401151631478</c:v>
                </c:pt>
                <c:pt idx="109">
                  <c:v>27.405857740585773</c:v>
                </c:pt>
                <c:pt idx="110">
                  <c:v>26.466575716234651</c:v>
                </c:pt>
                <c:pt idx="111">
                  <c:v>29.265770423991729</c:v>
                </c:pt>
                <c:pt idx="112">
                  <c:v>35.714285714285715</c:v>
                </c:pt>
                <c:pt idx="113">
                  <c:v>20.785597381342061</c:v>
                </c:pt>
                <c:pt idx="114">
                  <c:v>28.172043010752688</c:v>
                </c:pt>
                <c:pt idx="115">
                  <c:v>31</c:v>
                </c:pt>
                <c:pt idx="116">
                  <c:v>22.45398773006135</c:v>
                </c:pt>
                <c:pt idx="117">
                  <c:v>33.245382585751976</c:v>
                </c:pt>
                <c:pt idx="118">
                  <c:v>0</c:v>
                </c:pt>
                <c:pt idx="119">
                  <c:v>25.124131082423037</c:v>
                </c:pt>
                <c:pt idx="120">
                  <c:v>26.795580110497237</c:v>
                </c:pt>
                <c:pt idx="121">
                  <c:v>23.037974683544302</c:v>
                </c:pt>
                <c:pt idx="122">
                  <c:v>26.268656716417912</c:v>
                </c:pt>
                <c:pt idx="123">
                  <c:v>26.25</c:v>
                </c:pt>
                <c:pt idx="124">
                  <c:v>24.784217016029594</c:v>
                </c:pt>
                <c:pt idx="125">
                  <c:v>24.964739069111424</c:v>
                </c:pt>
                <c:pt idx="126">
                  <c:v>29.62515114873035</c:v>
                </c:pt>
                <c:pt idx="127">
                  <c:v>29.085872576177284</c:v>
                </c:pt>
                <c:pt idx="128">
                  <c:v>31.460674157303369</c:v>
                </c:pt>
                <c:pt idx="129">
                  <c:v>28.810408921933085</c:v>
                </c:pt>
                <c:pt idx="130">
                  <c:v>37.5</c:v>
                </c:pt>
                <c:pt idx="131">
                  <c:v>33.54037267080745</c:v>
                </c:pt>
                <c:pt idx="132">
                  <c:v>38.767395626242546</c:v>
                </c:pt>
                <c:pt idx="133">
                  <c:v>30.408163265306122</c:v>
                </c:pt>
                <c:pt idx="134">
                  <c:v>37.358490566037737</c:v>
                </c:pt>
                <c:pt idx="135">
                  <c:v>24</c:v>
                </c:pt>
                <c:pt idx="136">
                  <c:v>22.377622377622377</c:v>
                </c:pt>
                <c:pt idx="137">
                  <c:v>19.022869022869024</c:v>
                </c:pt>
                <c:pt idx="138">
                  <c:v>30.721393034825869</c:v>
                </c:pt>
                <c:pt idx="139">
                  <c:v>29.585006693440427</c:v>
                </c:pt>
                <c:pt idx="140">
                  <c:v>19.459888800635426</c:v>
                </c:pt>
                <c:pt idx="141">
                  <c:v>28.820960698689955</c:v>
                </c:pt>
                <c:pt idx="142">
                  <c:v>33.12958435207824</c:v>
                </c:pt>
                <c:pt idx="143">
                  <c:v>30.809399477806789</c:v>
                </c:pt>
                <c:pt idx="144">
                  <c:v>36.010362694300518</c:v>
                </c:pt>
                <c:pt idx="145">
                  <c:v>27.078891257995735</c:v>
                </c:pt>
                <c:pt idx="146">
                  <c:v>16.343490304709142</c:v>
                </c:pt>
                <c:pt idx="147">
                  <c:v>29.923664122137403</c:v>
                </c:pt>
                <c:pt idx="148">
                  <c:v>27.395715896279594</c:v>
                </c:pt>
                <c:pt idx="149">
                  <c:v>30.63973063973064</c:v>
                </c:pt>
                <c:pt idx="150">
                  <c:v>32.523616734143047</c:v>
                </c:pt>
                <c:pt idx="151">
                  <c:v>38.728323699421964</c:v>
                </c:pt>
                <c:pt idx="152">
                  <c:v>36.363636363636367</c:v>
                </c:pt>
                <c:pt idx="153">
                  <c:v>33.399209486166008</c:v>
                </c:pt>
                <c:pt idx="154">
                  <c:v>38.660578386605785</c:v>
                </c:pt>
                <c:pt idx="155">
                  <c:v>38.748137108792847</c:v>
                </c:pt>
                <c:pt idx="156">
                  <c:v>22.357723577235774</c:v>
                </c:pt>
                <c:pt idx="157">
                  <c:v>18.75</c:v>
                </c:pt>
                <c:pt idx="158">
                  <c:v>16.535433070866141</c:v>
                </c:pt>
                <c:pt idx="159">
                  <c:v>30.852994555353902</c:v>
                </c:pt>
                <c:pt idx="160">
                  <c:v>14.256198347107437</c:v>
                </c:pt>
                <c:pt idx="161">
                  <c:v>34.262948207171313</c:v>
                </c:pt>
                <c:pt idx="162">
                  <c:v>37.733142037302727</c:v>
                </c:pt>
                <c:pt idx="163">
                  <c:v>34.290271132376397</c:v>
                </c:pt>
                <c:pt idx="164">
                  <c:v>33.900928792569658</c:v>
                </c:pt>
                <c:pt idx="165">
                  <c:v>32.258064516129032</c:v>
                </c:pt>
                <c:pt idx="166">
                  <c:v>31.707317073170731</c:v>
                </c:pt>
                <c:pt idx="167">
                  <c:v>36.283185840707965</c:v>
                </c:pt>
                <c:pt idx="168">
                  <c:v>29.234972677595628</c:v>
                </c:pt>
                <c:pt idx="169">
                  <c:v>32.773109243697476</c:v>
                </c:pt>
                <c:pt idx="170">
                  <c:v>38.989169675090253</c:v>
                </c:pt>
                <c:pt idx="171">
                  <c:v>20.810313075506446</c:v>
                </c:pt>
                <c:pt idx="172">
                  <c:v>19.946091644204852</c:v>
                </c:pt>
                <c:pt idx="173">
                  <c:v>28.423772609819121</c:v>
                </c:pt>
                <c:pt idx="174">
                  <c:v>26.030927835051546</c:v>
                </c:pt>
                <c:pt idx="175">
                  <c:v>21.465968586387433</c:v>
                </c:pt>
                <c:pt idx="176">
                  <c:v>29.279811097992916</c:v>
                </c:pt>
                <c:pt idx="177">
                  <c:v>12.113232389730086</c:v>
                </c:pt>
                <c:pt idx="178">
                  <c:v>26.186291739894553</c:v>
                </c:pt>
                <c:pt idx="179">
                  <c:v>78.119349005424951</c:v>
                </c:pt>
                <c:pt idx="180">
                  <c:v>82.503556187766719</c:v>
                </c:pt>
                <c:pt idx="181">
                  <c:v>48.928571428571431</c:v>
                </c:pt>
              </c:numCache>
            </c:numRef>
          </c:yVal>
          <c:bubbleSize>
            <c:numRef>
              <c:f>'Дума одномандатный'!$J$2:$J$183</c:f>
              <c:numCache>
                <c:formatCode>General</c:formatCode>
                <c:ptCount val="182"/>
                <c:pt idx="0">
                  <c:v>2451</c:v>
                </c:pt>
                <c:pt idx="1">
                  <c:v>1779</c:v>
                </c:pt>
                <c:pt idx="2">
                  <c:v>1942</c:v>
                </c:pt>
                <c:pt idx="3">
                  <c:v>2100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377</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2224</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981</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176</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2210</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2924</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6-1915-4D2F-A61C-DFA9673AF133}"/>
            </c:ext>
          </c:extLst>
        </c:ser>
        <c:ser>
          <c:idx val="15"/>
          <c:order val="8"/>
          <c:tx>
            <c:strRef>
              <c:f>'Дума одномандатный'!$AR$1</c:f>
              <c:strCache>
                <c:ptCount val="1"/>
                <c:pt idx="0">
                  <c:v>Ханафиев (Пенсионеров)</c:v>
                </c:pt>
              </c:strCache>
            </c:strRef>
          </c:tx>
          <c:spPr>
            <a:solidFill>
              <a:srgbClr val="996633">
                <a:alpha val="50196"/>
              </a:srgbClr>
            </a:solidFill>
            <a:ln w="25400">
              <a:noFill/>
            </a:ln>
            <a:effectLst/>
          </c:spPr>
          <c:invertIfNegative val="0"/>
          <c:xVal>
            <c:numRef>
              <c:f>'Дума одномандатный'!$O$2:$O$183</c:f>
              <c:numCache>
                <c:formatCode>0.0</c:formatCode>
                <c:ptCount val="182"/>
                <c:pt idx="0">
                  <c:v>63.484292125662996</c:v>
                </c:pt>
                <c:pt idx="1">
                  <c:v>54.187745924676783</c:v>
                </c:pt>
                <c:pt idx="2">
                  <c:v>55.818743563336767</c:v>
                </c:pt>
                <c:pt idx="3">
                  <c:v>56</c:v>
                </c:pt>
                <c:pt idx="4">
                  <c:v>49.812130971551262</c:v>
                </c:pt>
                <c:pt idx="5">
                  <c:v>51.432958034800407</c:v>
                </c:pt>
                <c:pt idx="6">
                  <c:v>56.158134820070956</c:v>
                </c:pt>
                <c:pt idx="7">
                  <c:v>71.452328159645234</c:v>
                </c:pt>
                <c:pt idx="8">
                  <c:v>73.707753479125245</c:v>
                </c:pt>
                <c:pt idx="9">
                  <c:v>37.016574585635361</c:v>
                </c:pt>
                <c:pt idx="10">
                  <c:v>25.407309555262</c:v>
                </c:pt>
                <c:pt idx="11">
                  <c:v>72.562358276643991</c:v>
                </c:pt>
                <c:pt idx="12">
                  <c:v>52.684258416742495</c:v>
                </c:pt>
                <c:pt idx="13">
                  <c:v>35.041666666666664</c:v>
                </c:pt>
                <c:pt idx="14">
                  <c:v>48.151191454396056</c:v>
                </c:pt>
                <c:pt idx="15">
                  <c:v>29.507364144235652</c:v>
                </c:pt>
                <c:pt idx="16">
                  <c:v>44.562334217506631</c:v>
                </c:pt>
                <c:pt idx="17">
                  <c:v>32.345876701361092</c:v>
                </c:pt>
                <c:pt idx="18">
                  <c:v>48.951048951048953</c:v>
                </c:pt>
                <c:pt idx="19">
                  <c:v>36.920222634508349</c:v>
                </c:pt>
                <c:pt idx="20">
                  <c:v>26.006528835690968</c:v>
                </c:pt>
                <c:pt idx="21">
                  <c:v>47.85954785954786</c:v>
                </c:pt>
                <c:pt idx="22">
                  <c:v>33.137697516930025</c:v>
                </c:pt>
                <c:pt idx="23">
                  <c:v>37.266187050359711</c:v>
                </c:pt>
                <c:pt idx="24">
                  <c:v>31.379462318201853</c:v>
                </c:pt>
                <c:pt idx="25">
                  <c:v>38.636363636363633</c:v>
                </c:pt>
                <c:pt idx="26">
                  <c:v>47.569444444444443</c:v>
                </c:pt>
                <c:pt idx="27">
                  <c:v>43.30472103004292</c:v>
                </c:pt>
                <c:pt idx="28">
                  <c:v>48.960216998191683</c:v>
                </c:pt>
                <c:pt idx="29">
                  <c:v>34.414106939704212</c:v>
                </c:pt>
                <c:pt idx="30">
                  <c:v>41.391614629794823</c:v>
                </c:pt>
                <c:pt idx="31">
                  <c:v>30.035971223021583</c:v>
                </c:pt>
                <c:pt idx="32">
                  <c:v>37.808641975308639</c:v>
                </c:pt>
                <c:pt idx="33">
                  <c:v>95.27145359019265</c:v>
                </c:pt>
                <c:pt idx="34">
                  <c:v>43.419689119170982</c:v>
                </c:pt>
                <c:pt idx="35">
                  <c:v>59.961904761904762</c:v>
                </c:pt>
                <c:pt idx="36">
                  <c:v>80.892103676913806</c:v>
                </c:pt>
                <c:pt idx="37">
                  <c:v>37.891440501043839</c:v>
                </c:pt>
                <c:pt idx="38">
                  <c:v>40.490081680280049</c:v>
                </c:pt>
                <c:pt idx="39">
                  <c:v>40.014164305949009</c:v>
                </c:pt>
                <c:pt idx="40">
                  <c:v>35.019646365422396</c:v>
                </c:pt>
                <c:pt idx="41">
                  <c:v>30.76923076923077</c:v>
                </c:pt>
                <c:pt idx="42">
                  <c:v>34.175334323922733</c:v>
                </c:pt>
                <c:pt idx="43">
                  <c:v>34.108527131782942</c:v>
                </c:pt>
                <c:pt idx="44">
                  <c:v>66.542133665421332</c:v>
                </c:pt>
                <c:pt idx="45">
                  <c:v>77.573904179408771</c:v>
                </c:pt>
                <c:pt idx="46">
                  <c:v>64.759725400457668</c:v>
                </c:pt>
                <c:pt idx="47">
                  <c:v>40.934579439252339</c:v>
                </c:pt>
                <c:pt idx="48">
                  <c:v>46.253229974160206</c:v>
                </c:pt>
                <c:pt idx="49">
                  <c:v>54.984354045596781</c:v>
                </c:pt>
                <c:pt idx="50">
                  <c:v>40.935672514619881</c:v>
                </c:pt>
                <c:pt idx="51">
                  <c:v>37.672465506898618</c:v>
                </c:pt>
                <c:pt idx="52">
                  <c:v>42.771804062126641</c:v>
                </c:pt>
                <c:pt idx="53">
                  <c:v>78.285714285714292</c:v>
                </c:pt>
                <c:pt idx="54">
                  <c:v>33.782267115600447</c:v>
                </c:pt>
                <c:pt idx="55">
                  <c:v>33.562113932738505</c:v>
                </c:pt>
                <c:pt idx="56">
                  <c:v>43.99198931909212</c:v>
                </c:pt>
                <c:pt idx="57">
                  <c:v>35.322822822822822</c:v>
                </c:pt>
                <c:pt idx="58">
                  <c:v>28.550983899821109</c:v>
                </c:pt>
                <c:pt idx="59">
                  <c:v>40.453323088743758</c:v>
                </c:pt>
                <c:pt idx="60">
                  <c:v>38.582677165354333</c:v>
                </c:pt>
                <c:pt idx="61">
                  <c:v>44.122298365840798</c:v>
                </c:pt>
                <c:pt idx="62">
                  <c:v>26.386138613861387</c:v>
                </c:pt>
                <c:pt idx="63">
                  <c:v>26.959247648902821</c:v>
                </c:pt>
                <c:pt idx="64">
                  <c:v>29.1156462585034</c:v>
                </c:pt>
                <c:pt idx="65">
                  <c:v>57.634902411021812</c:v>
                </c:pt>
                <c:pt idx="66">
                  <c:v>64.978902953586498</c:v>
                </c:pt>
                <c:pt idx="67">
                  <c:v>51.035502958579883</c:v>
                </c:pt>
                <c:pt idx="68">
                  <c:v>46.972972972972975</c:v>
                </c:pt>
                <c:pt idx="69">
                  <c:v>52.648138437336129</c:v>
                </c:pt>
                <c:pt idx="70">
                  <c:v>36.752827140549272</c:v>
                </c:pt>
                <c:pt idx="71">
                  <c:v>41.978609625668447</c:v>
                </c:pt>
                <c:pt idx="72">
                  <c:v>40.397350993377486</c:v>
                </c:pt>
                <c:pt idx="73">
                  <c:v>22.40990990990991</c:v>
                </c:pt>
                <c:pt idx="74">
                  <c:v>34.809160305343511</c:v>
                </c:pt>
                <c:pt idx="75">
                  <c:v>51.278195488721806</c:v>
                </c:pt>
                <c:pt idx="76">
                  <c:v>54.563297350343476</c:v>
                </c:pt>
                <c:pt idx="77">
                  <c:v>60.084033613445378</c:v>
                </c:pt>
                <c:pt idx="78">
                  <c:v>50.821827744904667</c:v>
                </c:pt>
                <c:pt idx="79">
                  <c:v>40.422535211267608</c:v>
                </c:pt>
                <c:pt idx="80">
                  <c:v>51.540983606557376</c:v>
                </c:pt>
                <c:pt idx="81">
                  <c:v>40.625</c:v>
                </c:pt>
                <c:pt idx="82">
                  <c:v>47.904811174340402</c:v>
                </c:pt>
                <c:pt idx="83">
                  <c:v>43.352883675464319</c:v>
                </c:pt>
                <c:pt idx="84">
                  <c:v>40.621336459554513</c:v>
                </c:pt>
                <c:pt idx="85">
                  <c:v>39.648093841642229</c:v>
                </c:pt>
                <c:pt idx="86">
                  <c:v>44.669718770438195</c:v>
                </c:pt>
                <c:pt idx="87">
                  <c:v>35.388888888888886</c:v>
                </c:pt>
                <c:pt idx="88">
                  <c:v>35.514018691588788</c:v>
                </c:pt>
                <c:pt idx="89">
                  <c:v>44.083291010665313</c:v>
                </c:pt>
                <c:pt idx="90">
                  <c:v>49.188906331763476</c:v>
                </c:pt>
                <c:pt idx="91">
                  <c:v>51.062537947783852</c:v>
                </c:pt>
                <c:pt idx="92">
                  <c:v>54.863221884498479</c:v>
                </c:pt>
                <c:pt idx="93">
                  <c:v>63.973344439816742</c:v>
                </c:pt>
                <c:pt idx="94">
                  <c:v>66.090611863615138</c:v>
                </c:pt>
                <c:pt idx="95">
                  <c:v>64.959349593495929</c:v>
                </c:pt>
                <c:pt idx="96">
                  <c:v>53.224043715846996</c:v>
                </c:pt>
                <c:pt idx="97">
                  <c:v>47.465437788018434</c:v>
                </c:pt>
                <c:pt idx="98">
                  <c:v>52.964169381107489</c:v>
                </c:pt>
                <c:pt idx="99">
                  <c:v>31.266540642722116</c:v>
                </c:pt>
                <c:pt idx="100">
                  <c:v>36.172295643661279</c:v>
                </c:pt>
                <c:pt idx="101">
                  <c:v>55.275443510737631</c:v>
                </c:pt>
                <c:pt idx="102">
                  <c:v>56.983805668016196</c:v>
                </c:pt>
                <c:pt idx="103">
                  <c:v>100</c:v>
                </c:pt>
                <c:pt idx="104">
                  <c:v>90.865384615384613</c:v>
                </c:pt>
                <c:pt idx="105">
                  <c:v>45.037292025243829</c:v>
                </c:pt>
                <c:pt idx="106">
                  <c:v>34.424778761061944</c:v>
                </c:pt>
                <c:pt idx="107">
                  <c:v>36.03448275862069</c:v>
                </c:pt>
                <c:pt idx="108">
                  <c:v>40.813135261923378</c:v>
                </c:pt>
                <c:pt idx="109">
                  <c:v>37.786561264822133</c:v>
                </c:pt>
                <c:pt idx="110">
                  <c:v>42.10526315789474</c:v>
                </c:pt>
                <c:pt idx="111">
                  <c:v>39.198131568703779</c:v>
                </c:pt>
                <c:pt idx="112">
                  <c:v>39.279869067103107</c:v>
                </c:pt>
                <c:pt idx="113">
                  <c:v>42.108890420399725</c:v>
                </c:pt>
                <c:pt idx="114">
                  <c:v>38.65336658354115</c:v>
                </c:pt>
                <c:pt idx="115">
                  <c:v>35.413899955732624</c:v>
                </c:pt>
                <c:pt idx="116">
                  <c:v>44.002151694459386</c:v>
                </c:pt>
                <c:pt idx="117">
                  <c:v>36.372360844529751</c:v>
                </c:pt>
                <c:pt idx="118">
                  <c:v>0</c:v>
                </c:pt>
                <c:pt idx="119">
                  <c:v>41.481481481481481</c:v>
                </c:pt>
                <c:pt idx="120">
                  <c:v>32.568600989653618</c:v>
                </c:pt>
                <c:pt idx="121">
                  <c:v>51.320918146383718</c:v>
                </c:pt>
                <c:pt idx="122">
                  <c:v>33.550325488232346</c:v>
                </c:pt>
                <c:pt idx="123">
                  <c:v>35.837864557587743</c:v>
                </c:pt>
                <c:pt idx="124">
                  <c:v>43.155339805825243</c:v>
                </c:pt>
                <c:pt idx="125">
                  <c:v>40.560640732265448</c:v>
                </c:pt>
                <c:pt idx="126">
                  <c:v>36.066288704753596</c:v>
                </c:pt>
                <c:pt idx="127">
                  <c:v>33.364140480591495</c:v>
                </c:pt>
                <c:pt idx="128">
                  <c:v>35.832913940613992</c:v>
                </c:pt>
                <c:pt idx="129">
                  <c:v>41.194486983154668</c:v>
                </c:pt>
                <c:pt idx="130">
                  <c:v>70.199587061252586</c:v>
                </c:pt>
                <c:pt idx="131">
                  <c:v>31.971465629053178</c:v>
                </c:pt>
                <c:pt idx="132">
                  <c:v>34.171195652173914</c:v>
                </c:pt>
                <c:pt idx="133">
                  <c:v>33.630748112560056</c:v>
                </c:pt>
                <c:pt idx="134">
                  <c:v>28.648648648648649</c:v>
                </c:pt>
                <c:pt idx="135">
                  <c:v>41.429924242424242</c:v>
                </c:pt>
                <c:pt idx="136">
                  <c:v>55.265700483091784</c:v>
                </c:pt>
                <c:pt idx="137">
                  <c:v>50.684210526315788</c:v>
                </c:pt>
                <c:pt idx="138">
                  <c:v>36.419213973799124</c:v>
                </c:pt>
                <c:pt idx="139">
                  <c:v>34.091943559399184</c:v>
                </c:pt>
                <c:pt idx="140">
                  <c:v>69.944444444444443</c:v>
                </c:pt>
                <c:pt idx="141">
                  <c:v>31.717451523545705</c:v>
                </c:pt>
                <c:pt idx="142">
                  <c:v>40.26290165530672</c:v>
                </c:pt>
                <c:pt idx="143">
                  <c:v>36.320531057373159</c:v>
                </c:pt>
                <c:pt idx="144">
                  <c:v>30.732484076433121</c:v>
                </c:pt>
                <c:pt idx="145">
                  <c:v>36.871069182389938</c:v>
                </c:pt>
                <c:pt idx="146">
                  <c:v>35.288367546432063</c:v>
                </c:pt>
                <c:pt idx="147">
                  <c:v>34.275248560962844</c:v>
                </c:pt>
                <c:pt idx="148">
                  <c:v>38.125802310654684</c:v>
                </c:pt>
                <c:pt idx="149">
                  <c:v>40.316742081447963</c:v>
                </c:pt>
                <c:pt idx="150">
                  <c:v>28.046934140802421</c:v>
                </c:pt>
                <c:pt idx="151">
                  <c:v>28.618602091359385</c:v>
                </c:pt>
                <c:pt idx="152">
                  <c:v>32.336255801959773</c:v>
                </c:pt>
                <c:pt idx="153">
                  <c:v>24.444444444444443</c:v>
                </c:pt>
                <c:pt idx="154">
                  <c:v>28.752735229759299</c:v>
                </c:pt>
                <c:pt idx="155">
                  <c:v>26.303410427283417</c:v>
                </c:pt>
                <c:pt idx="156">
                  <c:v>32.887700534759361</c:v>
                </c:pt>
                <c:pt idx="157">
                  <c:v>53.324468085106382</c:v>
                </c:pt>
                <c:pt idx="158">
                  <c:v>50.189155107187894</c:v>
                </c:pt>
                <c:pt idx="159">
                  <c:v>32.23570190641248</c:v>
                </c:pt>
                <c:pt idx="160">
                  <c:v>44.567219152854513</c:v>
                </c:pt>
                <c:pt idx="161">
                  <c:v>26.778385772913818</c:v>
                </c:pt>
                <c:pt idx="162">
                  <c:v>26.083707025411062</c:v>
                </c:pt>
                <c:pt idx="163">
                  <c:v>26.590330788804071</c:v>
                </c:pt>
                <c:pt idx="164">
                  <c:v>29.204339963833636</c:v>
                </c:pt>
                <c:pt idx="165">
                  <c:v>26.91194708557255</c:v>
                </c:pt>
                <c:pt idx="166">
                  <c:v>22.96983758700696</c:v>
                </c:pt>
                <c:pt idx="167">
                  <c:v>24.077999152183128</c:v>
                </c:pt>
                <c:pt idx="168">
                  <c:v>24.746450304259636</c:v>
                </c:pt>
                <c:pt idx="169">
                  <c:v>16.688918558077436</c:v>
                </c:pt>
                <c:pt idx="170">
                  <c:v>20.803604956815622</c:v>
                </c:pt>
                <c:pt idx="171">
                  <c:v>42.521534847298355</c:v>
                </c:pt>
                <c:pt idx="172">
                  <c:v>34.256694367497694</c:v>
                </c:pt>
                <c:pt idx="173">
                  <c:v>31.412337662337663</c:v>
                </c:pt>
                <c:pt idx="174">
                  <c:v>37.596899224806201</c:v>
                </c:pt>
                <c:pt idx="175">
                  <c:v>37.201166180758015</c:v>
                </c:pt>
                <c:pt idx="176">
                  <c:v>49.561146869514339</c:v>
                </c:pt>
                <c:pt idx="177">
                  <c:v>62.228594838181074</c:v>
                </c:pt>
                <c:pt idx="178">
                  <c:v>31.506090808416388</c:v>
                </c:pt>
                <c:pt idx="179">
                  <c:v>42.149390243902438</c:v>
                </c:pt>
                <c:pt idx="180">
                  <c:v>42.400482509047045</c:v>
                </c:pt>
                <c:pt idx="181">
                  <c:v>26.266416510318951</c:v>
                </c:pt>
              </c:numCache>
            </c:numRef>
          </c:xVal>
          <c:yVal>
            <c:numRef>
              <c:f>'Дума одномандатный'!$AR$2:$AR$183</c:f>
              <c:numCache>
                <c:formatCode>0.0</c:formatCode>
                <c:ptCount val="182"/>
                <c:pt idx="0">
                  <c:v>3.7917737789203083</c:v>
                </c:pt>
                <c:pt idx="1">
                  <c:v>3.121748178980229</c:v>
                </c:pt>
                <c:pt idx="2">
                  <c:v>1.8484288354898337</c:v>
                </c:pt>
                <c:pt idx="3">
                  <c:v>3.4129692832764507</c:v>
                </c:pt>
                <c:pt idx="4">
                  <c:v>4.3243243243243246</c:v>
                </c:pt>
                <c:pt idx="5">
                  <c:v>3.4136546184738954</c:v>
                </c:pt>
                <c:pt idx="6">
                  <c:v>1.8953068592057762</c:v>
                </c:pt>
                <c:pt idx="7">
                  <c:v>2.3455824863174355</c:v>
                </c:pt>
                <c:pt idx="8">
                  <c:v>2.22521915037087</c:v>
                </c:pt>
                <c:pt idx="9">
                  <c:v>3.579676674364896</c:v>
                </c:pt>
                <c:pt idx="10">
                  <c:v>2.7729636048526864</c:v>
                </c:pt>
                <c:pt idx="11">
                  <c:v>2.34375</c:v>
                </c:pt>
                <c:pt idx="12">
                  <c:v>3.6269430051813472</c:v>
                </c:pt>
                <c:pt idx="13">
                  <c:v>2.4970273483947683</c:v>
                </c:pt>
                <c:pt idx="14">
                  <c:v>1.8771331058020477</c:v>
                </c:pt>
                <c:pt idx="15">
                  <c:v>2.4096385542168677</c:v>
                </c:pt>
                <c:pt idx="16">
                  <c:v>4.7619047619047619</c:v>
                </c:pt>
                <c:pt idx="17">
                  <c:v>4.2713567839195976</c:v>
                </c:pt>
                <c:pt idx="18">
                  <c:v>2.0238095238095237</c:v>
                </c:pt>
                <c:pt idx="19">
                  <c:v>2.9145728643216082</c:v>
                </c:pt>
                <c:pt idx="20">
                  <c:v>3.3542976939203353</c:v>
                </c:pt>
                <c:pt idx="21">
                  <c:v>1.5075376884422111</c:v>
                </c:pt>
                <c:pt idx="22">
                  <c:v>5.177111716621253</c:v>
                </c:pt>
                <c:pt idx="23">
                  <c:v>3.346203346203346</c:v>
                </c:pt>
                <c:pt idx="24">
                  <c:v>3.6568213783403656</c:v>
                </c:pt>
                <c:pt idx="25">
                  <c:v>3.3088235294117645</c:v>
                </c:pt>
                <c:pt idx="26">
                  <c:v>2.8154327424400418</c:v>
                </c:pt>
                <c:pt idx="27">
                  <c:v>3.2064128256513027</c:v>
                </c:pt>
                <c:pt idx="28">
                  <c:v>3.2467532467532467</c:v>
                </c:pt>
                <c:pt idx="29">
                  <c:v>3.6363636363636362</c:v>
                </c:pt>
                <c:pt idx="30">
                  <c:v>5.1724137931034484</c:v>
                </c:pt>
                <c:pt idx="31">
                  <c:v>4.6407185628742518</c:v>
                </c:pt>
                <c:pt idx="32">
                  <c:v>3.0674846625766872</c:v>
                </c:pt>
                <c:pt idx="33">
                  <c:v>2.9465930018416207</c:v>
                </c:pt>
                <c:pt idx="34">
                  <c:v>1.431980906921241</c:v>
                </c:pt>
                <c:pt idx="35">
                  <c:v>2.7318932655654384</c:v>
                </c:pt>
                <c:pt idx="36">
                  <c:v>4.0238450074515653</c:v>
                </c:pt>
                <c:pt idx="37">
                  <c:v>2.6170798898071626</c:v>
                </c:pt>
                <c:pt idx="38">
                  <c:v>4.6109510086455332</c:v>
                </c:pt>
                <c:pt idx="39">
                  <c:v>2.1276595744680851</c:v>
                </c:pt>
                <c:pt idx="40">
                  <c:v>1.9033674963396778</c:v>
                </c:pt>
                <c:pt idx="41">
                  <c:v>2.3255813953488373</c:v>
                </c:pt>
                <c:pt idx="42">
                  <c:v>5.7608695652173916</c:v>
                </c:pt>
                <c:pt idx="43">
                  <c:v>4.8906048906048909</c:v>
                </c:pt>
                <c:pt idx="44">
                  <c:v>0.8733624454148472</c:v>
                </c:pt>
                <c:pt idx="45">
                  <c:v>0.5270092226613966</c:v>
                </c:pt>
                <c:pt idx="46">
                  <c:v>6.0070671378091873</c:v>
                </c:pt>
                <c:pt idx="47">
                  <c:v>4.5662100456621006</c:v>
                </c:pt>
                <c:pt idx="48">
                  <c:v>4.3296089385474863</c:v>
                </c:pt>
                <c:pt idx="49">
                  <c:v>2.5368248772504089</c:v>
                </c:pt>
                <c:pt idx="50">
                  <c:v>3.2467532467532467</c:v>
                </c:pt>
                <c:pt idx="51">
                  <c:v>3.5031847133757963</c:v>
                </c:pt>
                <c:pt idx="52">
                  <c:v>5.027932960893855</c:v>
                </c:pt>
                <c:pt idx="53">
                  <c:v>1.9464720194647203</c:v>
                </c:pt>
                <c:pt idx="54">
                  <c:v>4.1528239202657806</c:v>
                </c:pt>
                <c:pt idx="55">
                  <c:v>3.6809815950920246</c:v>
                </c:pt>
                <c:pt idx="56">
                  <c:v>3.4901365705614569</c:v>
                </c:pt>
                <c:pt idx="57">
                  <c:v>3.2943676939426143</c:v>
                </c:pt>
                <c:pt idx="58">
                  <c:v>1.6290726817042607</c:v>
                </c:pt>
                <c:pt idx="59">
                  <c:v>3.0389363722697058</c:v>
                </c:pt>
                <c:pt idx="60">
                  <c:v>3.9151712887438825</c:v>
                </c:pt>
                <c:pt idx="61">
                  <c:v>0</c:v>
                </c:pt>
                <c:pt idx="62">
                  <c:v>4.1275797373358349</c:v>
                </c:pt>
                <c:pt idx="63">
                  <c:v>2.9069767441860463</c:v>
                </c:pt>
                <c:pt idx="64">
                  <c:v>3.2710280373831777</c:v>
                </c:pt>
                <c:pt idx="65">
                  <c:v>3.8589487691284097</c:v>
                </c:pt>
                <c:pt idx="66">
                  <c:v>4.112554112554113</c:v>
                </c:pt>
                <c:pt idx="67">
                  <c:v>2.0289855072463769</c:v>
                </c:pt>
                <c:pt idx="68">
                  <c:v>3.7974683544303796</c:v>
                </c:pt>
                <c:pt idx="69">
                  <c:v>2.3904382470119523</c:v>
                </c:pt>
                <c:pt idx="70">
                  <c:v>2.6373626373626373</c:v>
                </c:pt>
                <c:pt idx="71">
                  <c:v>4.042553191489362</c:v>
                </c:pt>
                <c:pt idx="72">
                  <c:v>4.833333333333333</c:v>
                </c:pt>
                <c:pt idx="73">
                  <c:v>3.5175879396984926</c:v>
                </c:pt>
                <c:pt idx="74">
                  <c:v>3.0837004405286343</c:v>
                </c:pt>
                <c:pt idx="75">
                  <c:v>0.43988269794721407</c:v>
                </c:pt>
                <c:pt idx="76">
                  <c:v>1.9784172661870503</c:v>
                </c:pt>
                <c:pt idx="77">
                  <c:v>3.7216828478964401</c:v>
                </c:pt>
                <c:pt idx="78">
                  <c:v>3.2341526520051747</c:v>
                </c:pt>
                <c:pt idx="79">
                  <c:v>4.529616724738676</c:v>
                </c:pt>
                <c:pt idx="80">
                  <c:v>5.9796437659033082</c:v>
                </c:pt>
                <c:pt idx="81">
                  <c:v>5.0167224080267561</c:v>
                </c:pt>
                <c:pt idx="82">
                  <c:v>4.4420368364030338</c:v>
                </c:pt>
                <c:pt idx="83">
                  <c:v>4.058624577226607</c:v>
                </c:pt>
                <c:pt idx="84">
                  <c:v>4.1907514450867049</c:v>
                </c:pt>
                <c:pt idx="85">
                  <c:v>4.1420118343195265</c:v>
                </c:pt>
                <c:pt idx="86">
                  <c:v>4.3923865300146412</c:v>
                </c:pt>
                <c:pt idx="87">
                  <c:v>3.4536891679748822</c:v>
                </c:pt>
                <c:pt idx="88">
                  <c:v>2.4853801169590644</c:v>
                </c:pt>
                <c:pt idx="89">
                  <c:v>1.8433179723502304</c:v>
                </c:pt>
                <c:pt idx="90">
                  <c:v>2.5531914893617023</c:v>
                </c:pt>
                <c:pt idx="91">
                  <c:v>2.0214030915576693</c:v>
                </c:pt>
                <c:pt idx="92">
                  <c:v>1.6620498614958448</c:v>
                </c:pt>
                <c:pt idx="93">
                  <c:v>2.6041666666666665</c:v>
                </c:pt>
                <c:pt idx="94">
                  <c:v>3.9631988676574665</c:v>
                </c:pt>
                <c:pt idx="95">
                  <c:v>5.9065934065934069</c:v>
                </c:pt>
                <c:pt idx="96">
                  <c:v>0</c:v>
                </c:pt>
                <c:pt idx="97">
                  <c:v>2.5595763459841128</c:v>
                </c:pt>
                <c:pt idx="98">
                  <c:v>2.7060270602706029</c:v>
                </c:pt>
                <c:pt idx="99">
                  <c:v>4.1112454655380892</c:v>
                </c:pt>
                <c:pt idx="100">
                  <c:v>4.8714479025710418</c:v>
                </c:pt>
                <c:pt idx="101">
                  <c:v>2.9560810810810811</c:v>
                </c:pt>
                <c:pt idx="102">
                  <c:v>3.7433155080213902</c:v>
                </c:pt>
                <c:pt idx="103">
                  <c:v>0.56818181818181823</c:v>
                </c:pt>
                <c:pt idx="104">
                  <c:v>10</c:v>
                </c:pt>
                <c:pt idx="105">
                  <c:v>3.5668789808917198</c:v>
                </c:pt>
                <c:pt idx="106">
                  <c:v>2.5706940874035991</c:v>
                </c:pt>
                <c:pt idx="107">
                  <c:v>4.1866028708133971</c:v>
                </c:pt>
                <c:pt idx="108">
                  <c:v>3.2629558541266794</c:v>
                </c:pt>
                <c:pt idx="109">
                  <c:v>4.8117154811715483</c:v>
                </c:pt>
                <c:pt idx="110">
                  <c:v>3.2742155525238745</c:v>
                </c:pt>
                <c:pt idx="111">
                  <c:v>4.3433298862461216</c:v>
                </c:pt>
                <c:pt idx="112">
                  <c:v>2.9411764705882355</c:v>
                </c:pt>
                <c:pt idx="113">
                  <c:v>0.81833060556464809</c:v>
                </c:pt>
                <c:pt idx="114">
                  <c:v>4.301075268817204</c:v>
                </c:pt>
                <c:pt idx="115">
                  <c:v>4.625</c:v>
                </c:pt>
                <c:pt idx="116">
                  <c:v>1.8404907975460123</c:v>
                </c:pt>
                <c:pt idx="117">
                  <c:v>2.6385224274406331</c:v>
                </c:pt>
                <c:pt idx="118">
                  <c:v>0</c:v>
                </c:pt>
                <c:pt idx="119">
                  <c:v>4.1708043694141015</c:v>
                </c:pt>
                <c:pt idx="120">
                  <c:v>3.729281767955801</c:v>
                </c:pt>
                <c:pt idx="121">
                  <c:v>3.2911392405063293</c:v>
                </c:pt>
                <c:pt idx="122">
                  <c:v>2.2388059701492535</c:v>
                </c:pt>
                <c:pt idx="123">
                  <c:v>3.3333333333333335</c:v>
                </c:pt>
                <c:pt idx="124">
                  <c:v>2.342786683107275</c:v>
                </c:pt>
                <c:pt idx="125">
                  <c:v>3.3850493653032441</c:v>
                </c:pt>
                <c:pt idx="126">
                  <c:v>4.5949214026602174</c:v>
                </c:pt>
                <c:pt idx="127">
                  <c:v>3.601108033240997</c:v>
                </c:pt>
                <c:pt idx="128">
                  <c:v>1.9662921348314606</c:v>
                </c:pt>
                <c:pt idx="129">
                  <c:v>4.0892193308550189</c:v>
                </c:pt>
                <c:pt idx="130">
                  <c:v>3.5377358490566038</c:v>
                </c:pt>
                <c:pt idx="131">
                  <c:v>3.1055900621118013</c:v>
                </c:pt>
                <c:pt idx="132">
                  <c:v>3.3797216699801194</c:v>
                </c:pt>
                <c:pt idx="133">
                  <c:v>4.0816326530612246</c:v>
                </c:pt>
                <c:pt idx="134">
                  <c:v>1.8867924528301887</c:v>
                </c:pt>
                <c:pt idx="135">
                  <c:v>2.7428571428571429</c:v>
                </c:pt>
                <c:pt idx="136">
                  <c:v>2.2727272727272729</c:v>
                </c:pt>
                <c:pt idx="137">
                  <c:v>1.9750519750519751</c:v>
                </c:pt>
                <c:pt idx="138">
                  <c:v>2.6119402985074629</c:v>
                </c:pt>
                <c:pt idx="139">
                  <c:v>3.4805890227576977</c:v>
                </c:pt>
                <c:pt idx="140">
                  <c:v>7.9428117553613981E-2</c:v>
                </c:pt>
                <c:pt idx="141">
                  <c:v>2.4745269286754001</c:v>
                </c:pt>
                <c:pt idx="142">
                  <c:v>3.0562347188264058</c:v>
                </c:pt>
                <c:pt idx="143">
                  <c:v>3.3942558746736293</c:v>
                </c:pt>
                <c:pt idx="144">
                  <c:v>3.6269430051813472</c:v>
                </c:pt>
                <c:pt idx="145">
                  <c:v>2.3454157782515992</c:v>
                </c:pt>
                <c:pt idx="146">
                  <c:v>2.770083102493075</c:v>
                </c:pt>
                <c:pt idx="147">
                  <c:v>3.3587786259541983</c:v>
                </c:pt>
                <c:pt idx="148">
                  <c:v>3.9458850056369785</c:v>
                </c:pt>
                <c:pt idx="149">
                  <c:v>2.4691358024691357</c:v>
                </c:pt>
                <c:pt idx="150">
                  <c:v>3.9136302294197032</c:v>
                </c:pt>
                <c:pt idx="151">
                  <c:v>2.6974951830443161</c:v>
                </c:pt>
                <c:pt idx="152">
                  <c:v>2.8708133971291865</c:v>
                </c:pt>
                <c:pt idx="153">
                  <c:v>3.7549407114624507</c:v>
                </c:pt>
                <c:pt idx="154">
                  <c:v>1.6742770167427701</c:v>
                </c:pt>
                <c:pt idx="155">
                  <c:v>2.3845007451564828</c:v>
                </c:pt>
                <c:pt idx="156">
                  <c:v>1.2195121951219512</c:v>
                </c:pt>
                <c:pt idx="157">
                  <c:v>3.5</c:v>
                </c:pt>
                <c:pt idx="158">
                  <c:v>1.837270341207349</c:v>
                </c:pt>
                <c:pt idx="159">
                  <c:v>3.266787658802178</c:v>
                </c:pt>
                <c:pt idx="160">
                  <c:v>0.82644628099173556</c:v>
                </c:pt>
                <c:pt idx="161">
                  <c:v>2.6560424966799467</c:v>
                </c:pt>
                <c:pt idx="162">
                  <c:v>1.5781922525107603</c:v>
                </c:pt>
                <c:pt idx="163">
                  <c:v>2.3923444976076556</c:v>
                </c:pt>
                <c:pt idx="164">
                  <c:v>2.9411764705882355</c:v>
                </c:pt>
                <c:pt idx="165">
                  <c:v>1.6897081413210446</c:v>
                </c:pt>
                <c:pt idx="166">
                  <c:v>3.2520325203252032</c:v>
                </c:pt>
                <c:pt idx="167">
                  <c:v>3.1858407079646018</c:v>
                </c:pt>
                <c:pt idx="168">
                  <c:v>5.7377049180327866</c:v>
                </c:pt>
                <c:pt idx="169">
                  <c:v>0</c:v>
                </c:pt>
                <c:pt idx="170">
                  <c:v>3.0685920577617329</c:v>
                </c:pt>
                <c:pt idx="171">
                  <c:v>2.9465930018416207</c:v>
                </c:pt>
                <c:pt idx="172">
                  <c:v>1.3477088948787062</c:v>
                </c:pt>
                <c:pt idx="173">
                  <c:v>4.3927648578811374</c:v>
                </c:pt>
                <c:pt idx="174">
                  <c:v>2.5773195876288661</c:v>
                </c:pt>
                <c:pt idx="175">
                  <c:v>2.0942408376963351</c:v>
                </c:pt>
                <c:pt idx="176">
                  <c:v>3.0696576151121606</c:v>
                </c:pt>
                <c:pt idx="177">
                  <c:v>1.2508229098090848</c:v>
                </c:pt>
                <c:pt idx="178">
                  <c:v>3.1634446397188047</c:v>
                </c:pt>
                <c:pt idx="179">
                  <c:v>1.4466546112115732</c:v>
                </c:pt>
                <c:pt idx="180">
                  <c:v>0.56899004267425324</c:v>
                </c:pt>
                <c:pt idx="181">
                  <c:v>1.4285714285714286</c:v>
                </c:pt>
              </c:numCache>
            </c:numRef>
          </c:yVal>
          <c:bubbleSize>
            <c:numRef>
              <c:f>'Дума одномандатный'!$J$2:$J$183</c:f>
              <c:numCache>
                <c:formatCode>General</c:formatCode>
                <c:ptCount val="182"/>
                <c:pt idx="0">
                  <c:v>2451</c:v>
                </c:pt>
                <c:pt idx="1">
                  <c:v>1779</c:v>
                </c:pt>
                <c:pt idx="2">
                  <c:v>1942</c:v>
                </c:pt>
                <c:pt idx="3">
                  <c:v>2100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377</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2224</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981</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176</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2210</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2924</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7-1915-4D2F-A61C-DFA9673AF133}"/>
            </c:ext>
          </c:extLst>
        </c:ser>
        <c:ser>
          <c:idx val="4"/>
          <c:order val="9"/>
          <c:tx>
            <c:strRef>
              <c:f>'Дума одномандатный'!$AT$1</c:f>
              <c:strCache>
                <c:ptCount val="1"/>
                <c:pt idx="0">
                  <c:v>Шерягин (Родина)</c:v>
                </c:pt>
              </c:strCache>
            </c:strRef>
          </c:tx>
          <c:spPr>
            <a:solidFill>
              <a:srgbClr val="9900FF">
                <a:alpha val="49804"/>
              </a:srgbClr>
            </a:solidFill>
            <a:ln w="25400">
              <a:noFill/>
            </a:ln>
          </c:spPr>
          <c:invertIfNegative val="0"/>
          <c:xVal>
            <c:numRef>
              <c:f>'Дума одномандатный'!$O$2:$O$183</c:f>
              <c:numCache>
                <c:formatCode>0.0</c:formatCode>
                <c:ptCount val="182"/>
                <c:pt idx="0">
                  <c:v>63.484292125662996</c:v>
                </c:pt>
                <c:pt idx="1">
                  <c:v>54.187745924676783</c:v>
                </c:pt>
                <c:pt idx="2">
                  <c:v>55.818743563336767</c:v>
                </c:pt>
                <c:pt idx="3">
                  <c:v>56</c:v>
                </c:pt>
                <c:pt idx="4">
                  <c:v>49.812130971551262</c:v>
                </c:pt>
                <c:pt idx="5">
                  <c:v>51.432958034800407</c:v>
                </c:pt>
                <c:pt idx="6">
                  <c:v>56.158134820070956</c:v>
                </c:pt>
                <c:pt idx="7">
                  <c:v>71.452328159645234</c:v>
                </c:pt>
                <c:pt idx="8">
                  <c:v>73.707753479125245</c:v>
                </c:pt>
                <c:pt idx="9">
                  <c:v>37.016574585635361</c:v>
                </c:pt>
                <c:pt idx="10">
                  <c:v>25.407309555262</c:v>
                </c:pt>
                <c:pt idx="11">
                  <c:v>72.562358276643991</c:v>
                </c:pt>
                <c:pt idx="12">
                  <c:v>52.684258416742495</c:v>
                </c:pt>
                <c:pt idx="13">
                  <c:v>35.041666666666664</c:v>
                </c:pt>
                <c:pt idx="14">
                  <c:v>48.151191454396056</c:v>
                </c:pt>
                <c:pt idx="15">
                  <c:v>29.507364144235652</c:v>
                </c:pt>
                <c:pt idx="16">
                  <c:v>44.562334217506631</c:v>
                </c:pt>
                <c:pt idx="17">
                  <c:v>32.345876701361092</c:v>
                </c:pt>
                <c:pt idx="18">
                  <c:v>48.951048951048953</c:v>
                </c:pt>
                <c:pt idx="19">
                  <c:v>36.920222634508349</c:v>
                </c:pt>
                <c:pt idx="20">
                  <c:v>26.006528835690968</c:v>
                </c:pt>
                <c:pt idx="21">
                  <c:v>47.85954785954786</c:v>
                </c:pt>
                <c:pt idx="22">
                  <c:v>33.137697516930025</c:v>
                </c:pt>
                <c:pt idx="23">
                  <c:v>37.266187050359711</c:v>
                </c:pt>
                <c:pt idx="24">
                  <c:v>31.379462318201853</c:v>
                </c:pt>
                <c:pt idx="25">
                  <c:v>38.636363636363633</c:v>
                </c:pt>
                <c:pt idx="26">
                  <c:v>47.569444444444443</c:v>
                </c:pt>
                <c:pt idx="27">
                  <c:v>43.30472103004292</c:v>
                </c:pt>
                <c:pt idx="28">
                  <c:v>48.960216998191683</c:v>
                </c:pt>
                <c:pt idx="29">
                  <c:v>34.414106939704212</c:v>
                </c:pt>
                <c:pt idx="30">
                  <c:v>41.391614629794823</c:v>
                </c:pt>
                <c:pt idx="31">
                  <c:v>30.035971223021583</c:v>
                </c:pt>
                <c:pt idx="32">
                  <c:v>37.808641975308639</c:v>
                </c:pt>
                <c:pt idx="33">
                  <c:v>95.27145359019265</c:v>
                </c:pt>
                <c:pt idx="34">
                  <c:v>43.419689119170982</c:v>
                </c:pt>
                <c:pt idx="35">
                  <c:v>59.961904761904762</c:v>
                </c:pt>
                <c:pt idx="36">
                  <c:v>80.892103676913806</c:v>
                </c:pt>
                <c:pt idx="37">
                  <c:v>37.891440501043839</c:v>
                </c:pt>
                <c:pt idx="38">
                  <c:v>40.490081680280049</c:v>
                </c:pt>
                <c:pt idx="39">
                  <c:v>40.014164305949009</c:v>
                </c:pt>
                <c:pt idx="40">
                  <c:v>35.019646365422396</c:v>
                </c:pt>
                <c:pt idx="41">
                  <c:v>30.76923076923077</c:v>
                </c:pt>
                <c:pt idx="42">
                  <c:v>34.175334323922733</c:v>
                </c:pt>
                <c:pt idx="43">
                  <c:v>34.108527131782942</c:v>
                </c:pt>
                <c:pt idx="44">
                  <c:v>66.542133665421332</c:v>
                </c:pt>
                <c:pt idx="45">
                  <c:v>77.573904179408771</c:v>
                </c:pt>
                <c:pt idx="46">
                  <c:v>64.759725400457668</c:v>
                </c:pt>
                <c:pt idx="47">
                  <c:v>40.934579439252339</c:v>
                </c:pt>
                <c:pt idx="48">
                  <c:v>46.253229974160206</c:v>
                </c:pt>
                <c:pt idx="49">
                  <c:v>54.984354045596781</c:v>
                </c:pt>
                <c:pt idx="50">
                  <c:v>40.935672514619881</c:v>
                </c:pt>
                <c:pt idx="51">
                  <c:v>37.672465506898618</c:v>
                </c:pt>
                <c:pt idx="52">
                  <c:v>42.771804062126641</c:v>
                </c:pt>
                <c:pt idx="53">
                  <c:v>78.285714285714292</c:v>
                </c:pt>
                <c:pt idx="54">
                  <c:v>33.782267115600447</c:v>
                </c:pt>
                <c:pt idx="55">
                  <c:v>33.562113932738505</c:v>
                </c:pt>
                <c:pt idx="56">
                  <c:v>43.99198931909212</c:v>
                </c:pt>
                <c:pt idx="57">
                  <c:v>35.322822822822822</c:v>
                </c:pt>
                <c:pt idx="58">
                  <c:v>28.550983899821109</c:v>
                </c:pt>
                <c:pt idx="59">
                  <c:v>40.453323088743758</c:v>
                </c:pt>
                <c:pt idx="60">
                  <c:v>38.582677165354333</c:v>
                </c:pt>
                <c:pt idx="61">
                  <c:v>44.122298365840798</c:v>
                </c:pt>
                <c:pt idx="62">
                  <c:v>26.386138613861387</c:v>
                </c:pt>
                <c:pt idx="63">
                  <c:v>26.959247648902821</c:v>
                </c:pt>
                <c:pt idx="64">
                  <c:v>29.1156462585034</c:v>
                </c:pt>
                <c:pt idx="65">
                  <c:v>57.634902411021812</c:v>
                </c:pt>
                <c:pt idx="66">
                  <c:v>64.978902953586498</c:v>
                </c:pt>
                <c:pt idx="67">
                  <c:v>51.035502958579883</c:v>
                </c:pt>
                <c:pt idx="68">
                  <c:v>46.972972972972975</c:v>
                </c:pt>
                <c:pt idx="69">
                  <c:v>52.648138437336129</c:v>
                </c:pt>
                <c:pt idx="70">
                  <c:v>36.752827140549272</c:v>
                </c:pt>
                <c:pt idx="71">
                  <c:v>41.978609625668447</c:v>
                </c:pt>
                <c:pt idx="72">
                  <c:v>40.397350993377486</c:v>
                </c:pt>
                <c:pt idx="73">
                  <c:v>22.40990990990991</c:v>
                </c:pt>
                <c:pt idx="74">
                  <c:v>34.809160305343511</c:v>
                </c:pt>
                <c:pt idx="75">
                  <c:v>51.278195488721806</c:v>
                </c:pt>
                <c:pt idx="76">
                  <c:v>54.563297350343476</c:v>
                </c:pt>
                <c:pt idx="77">
                  <c:v>60.084033613445378</c:v>
                </c:pt>
                <c:pt idx="78">
                  <c:v>50.821827744904667</c:v>
                </c:pt>
                <c:pt idx="79">
                  <c:v>40.422535211267608</c:v>
                </c:pt>
                <c:pt idx="80">
                  <c:v>51.540983606557376</c:v>
                </c:pt>
                <c:pt idx="81">
                  <c:v>40.625</c:v>
                </c:pt>
                <c:pt idx="82">
                  <c:v>47.904811174340402</c:v>
                </c:pt>
                <c:pt idx="83">
                  <c:v>43.352883675464319</c:v>
                </c:pt>
                <c:pt idx="84">
                  <c:v>40.621336459554513</c:v>
                </c:pt>
                <c:pt idx="85">
                  <c:v>39.648093841642229</c:v>
                </c:pt>
                <c:pt idx="86">
                  <c:v>44.669718770438195</c:v>
                </c:pt>
                <c:pt idx="87">
                  <c:v>35.388888888888886</c:v>
                </c:pt>
                <c:pt idx="88">
                  <c:v>35.514018691588788</c:v>
                </c:pt>
                <c:pt idx="89">
                  <c:v>44.083291010665313</c:v>
                </c:pt>
                <c:pt idx="90">
                  <c:v>49.188906331763476</c:v>
                </c:pt>
                <c:pt idx="91">
                  <c:v>51.062537947783852</c:v>
                </c:pt>
                <c:pt idx="92">
                  <c:v>54.863221884498479</c:v>
                </c:pt>
                <c:pt idx="93">
                  <c:v>63.973344439816742</c:v>
                </c:pt>
                <c:pt idx="94">
                  <c:v>66.090611863615138</c:v>
                </c:pt>
                <c:pt idx="95">
                  <c:v>64.959349593495929</c:v>
                </c:pt>
                <c:pt idx="96">
                  <c:v>53.224043715846996</c:v>
                </c:pt>
                <c:pt idx="97">
                  <c:v>47.465437788018434</c:v>
                </c:pt>
                <c:pt idx="98">
                  <c:v>52.964169381107489</c:v>
                </c:pt>
                <c:pt idx="99">
                  <c:v>31.266540642722116</c:v>
                </c:pt>
                <c:pt idx="100">
                  <c:v>36.172295643661279</c:v>
                </c:pt>
                <c:pt idx="101">
                  <c:v>55.275443510737631</c:v>
                </c:pt>
                <c:pt idx="102">
                  <c:v>56.983805668016196</c:v>
                </c:pt>
                <c:pt idx="103">
                  <c:v>100</c:v>
                </c:pt>
                <c:pt idx="104">
                  <c:v>90.865384615384613</c:v>
                </c:pt>
                <c:pt idx="105">
                  <c:v>45.037292025243829</c:v>
                </c:pt>
                <c:pt idx="106">
                  <c:v>34.424778761061944</c:v>
                </c:pt>
                <c:pt idx="107">
                  <c:v>36.03448275862069</c:v>
                </c:pt>
                <c:pt idx="108">
                  <c:v>40.813135261923378</c:v>
                </c:pt>
                <c:pt idx="109">
                  <c:v>37.786561264822133</c:v>
                </c:pt>
                <c:pt idx="110">
                  <c:v>42.10526315789474</c:v>
                </c:pt>
                <c:pt idx="111">
                  <c:v>39.198131568703779</c:v>
                </c:pt>
                <c:pt idx="112">
                  <c:v>39.279869067103107</c:v>
                </c:pt>
                <c:pt idx="113">
                  <c:v>42.108890420399725</c:v>
                </c:pt>
                <c:pt idx="114">
                  <c:v>38.65336658354115</c:v>
                </c:pt>
                <c:pt idx="115">
                  <c:v>35.413899955732624</c:v>
                </c:pt>
                <c:pt idx="116">
                  <c:v>44.002151694459386</c:v>
                </c:pt>
                <c:pt idx="117">
                  <c:v>36.372360844529751</c:v>
                </c:pt>
                <c:pt idx="118">
                  <c:v>0</c:v>
                </c:pt>
                <c:pt idx="119">
                  <c:v>41.481481481481481</c:v>
                </c:pt>
                <c:pt idx="120">
                  <c:v>32.568600989653618</c:v>
                </c:pt>
                <c:pt idx="121">
                  <c:v>51.320918146383718</c:v>
                </c:pt>
                <c:pt idx="122">
                  <c:v>33.550325488232346</c:v>
                </c:pt>
                <c:pt idx="123">
                  <c:v>35.837864557587743</c:v>
                </c:pt>
                <c:pt idx="124">
                  <c:v>43.155339805825243</c:v>
                </c:pt>
                <c:pt idx="125">
                  <c:v>40.560640732265448</c:v>
                </c:pt>
                <c:pt idx="126">
                  <c:v>36.066288704753596</c:v>
                </c:pt>
                <c:pt idx="127">
                  <c:v>33.364140480591495</c:v>
                </c:pt>
                <c:pt idx="128">
                  <c:v>35.832913940613992</c:v>
                </c:pt>
                <c:pt idx="129">
                  <c:v>41.194486983154668</c:v>
                </c:pt>
                <c:pt idx="130">
                  <c:v>70.199587061252586</c:v>
                </c:pt>
                <c:pt idx="131">
                  <c:v>31.971465629053178</c:v>
                </c:pt>
                <c:pt idx="132">
                  <c:v>34.171195652173914</c:v>
                </c:pt>
                <c:pt idx="133">
                  <c:v>33.630748112560056</c:v>
                </c:pt>
                <c:pt idx="134">
                  <c:v>28.648648648648649</c:v>
                </c:pt>
                <c:pt idx="135">
                  <c:v>41.429924242424242</c:v>
                </c:pt>
                <c:pt idx="136">
                  <c:v>55.265700483091784</c:v>
                </c:pt>
                <c:pt idx="137">
                  <c:v>50.684210526315788</c:v>
                </c:pt>
                <c:pt idx="138">
                  <c:v>36.419213973799124</c:v>
                </c:pt>
                <c:pt idx="139">
                  <c:v>34.091943559399184</c:v>
                </c:pt>
                <c:pt idx="140">
                  <c:v>69.944444444444443</c:v>
                </c:pt>
                <c:pt idx="141">
                  <c:v>31.717451523545705</c:v>
                </c:pt>
                <c:pt idx="142">
                  <c:v>40.26290165530672</c:v>
                </c:pt>
                <c:pt idx="143">
                  <c:v>36.320531057373159</c:v>
                </c:pt>
                <c:pt idx="144">
                  <c:v>30.732484076433121</c:v>
                </c:pt>
                <c:pt idx="145">
                  <c:v>36.871069182389938</c:v>
                </c:pt>
                <c:pt idx="146">
                  <c:v>35.288367546432063</c:v>
                </c:pt>
                <c:pt idx="147">
                  <c:v>34.275248560962844</c:v>
                </c:pt>
                <c:pt idx="148">
                  <c:v>38.125802310654684</c:v>
                </c:pt>
                <c:pt idx="149">
                  <c:v>40.316742081447963</c:v>
                </c:pt>
                <c:pt idx="150">
                  <c:v>28.046934140802421</c:v>
                </c:pt>
                <c:pt idx="151">
                  <c:v>28.618602091359385</c:v>
                </c:pt>
                <c:pt idx="152">
                  <c:v>32.336255801959773</c:v>
                </c:pt>
                <c:pt idx="153">
                  <c:v>24.444444444444443</c:v>
                </c:pt>
                <c:pt idx="154">
                  <c:v>28.752735229759299</c:v>
                </c:pt>
                <c:pt idx="155">
                  <c:v>26.303410427283417</c:v>
                </c:pt>
                <c:pt idx="156">
                  <c:v>32.887700534759361</c:v>
                </c:pt>
                <c:pt idx="157">
                  <c:v>53.324468085106382</c:v>
                </c:pt>
                <c:pt idx="158">
                  <c:v>50.189155107187894</c:v>
                </c:pt>
                <c:pt idx="159">
                  <c:v>32.23570190641248</c:v>
                </c:pt>
                <c:pt idx="160">
                  <c:v>44.567219152854513</c:v>
                </c:pt>
                <c:pt idx="161">
                  <c:v>26.778385772913818</c:v>
                </c:pt>
                <c:pt idx="162">
                  <c:v>26.083707025411062</c:v>
                </c:pt>
                <c:pt idx="163">
                  <c:v>26.590330788804071</c:v>
                </c:pt>
                <c:pt idx="164">
                  <c:v>29.204339963833636</c:v>
                </c:pt>
                <c:pt idx="165">
                  <c:v>26.91194708557255</c:v>
                </c:pt>
                <c:pt idx="166">
                  <c:v>22.96983758700696</c:v>
                </c:pt>
                <c:pt idx="167">
                  <c:v>24.077999152183128</c:v>
                </c:pt>
                <c:pt idx="168">
                  <c:v>24.746450304259636</c:v>
                </c:pt>
                <c:pt idx="169">
                  <c:v>16.688918558077436</c:v>
                </c:pt>
                <c:pt idx="170">
                  <c:v>20.803604956815622</c:v>
                </c:pt>
                <c:pt idx="171">
                  <c:v>42.521534847298355</c:v>
                </c:pt>
                <c:pt idx="172">
                  <c:v>34.256694367497694</c:v>
                </c:pt>
                <c:pt idx="173">
                  <c:v>31.412337662337663</c:v>
                </c:pt>
                <c:pt idx="174">
                  <c:v>37.596899224806201</c:v>
                </c:pt>
                <c:pt idx="175">
                  <c:v>37.201166180758015</c:v>
                </c:pt>
                <c:pt idx="176">
                  <c:v>49.561146869514339</c:v>
                </c:pt>
                <c:pt idx="177">
                  <c:v>62.228594838181074</c:v>
                </c:pt>
                <c:pt idx="178">
                  <c:v>31.506090808416388</c:v>
                </c:pt>
                <c:pt idx="179">
                  <c:v>42.149390243902438</c:v>
                </c:pt>
                <c:pt idx="180">
                  <c:v>42.400482509047045</c:v>
                </c:pt>
                <c:pt idx="181">
                  <c:v>26.266416510318951</c:v>
                </c:pt>
              </c:numCache>
            </c:numRef>
          </c:xVal>
          <c:yVal>
            <c:numRef>
              <c:f>'Дума одномандатный'!$AT$2:$AT$183</c:f>
              <c:numCache>
                <c:formatCode>0.0</c:formatCode>
                <c:ptCount val="182"/>
                <c:pt idx="0">
                  <c:v>2.506426735218509</c:v>
                </c:pt>
                <c:pt idx="1">
                  <c:v>0.83246618106139436</c:v>
                </c:pt>
                <c:pt idx="2">
                  <c:v>1.2939001848428835</c:v>
                </c:pt>
                <c:pt idx="3">
                  <c:v>1.5358361774744027</c:v>
                </c:pt>
                <c:pt idx="4">
                  <c:v>1.9459459459459461</c:v>
                </c:pt>
                <c:pt idx="5">
                  <c:v>3.1124497991967872</c:v>
                </c:pt>
                <c:pt idx="6">
                  <c:v>3.4296028880866425</c:v>
                </c:pt>
                <c:pt idx="7">
                  <c:v>1.4073494917904612</c:v>
                </c:pt>
                <c:pt idx="8">
                  <c:v>1.4160485502360081</c:v>
                </c:pt>
                <c:pt idx="9">
                  <c:v>2.0785219399538106</c:v>
                </c:pt>
                <c:pt idx="10">
                  <c:v>2.0797227036395149</c:v>
                </c:pt>
                <c:pt idx="11">
                  <c:v>0</c:v>
                </c:pt>
                <c:pt idx="12">
                  <c:v>2.245250431778929</c:v>
                </c:pt>
                <c:pt idx="13">
                  <c:v>1.3079667063020215</c:v>
                </c:pt>
                <c:pt idx="14">
                  <c:v>2.0477815699658701</c:v>
                </c:pt>
                <c:pt idx="15">
                  <c:v>2.7538726333907055</c:v>
                </c:pt>
                <c:pt idx="16">
                  <c:v>3.5714285714285716</c:v>
                </c:pt>
                <c:pt idx="17">
                  <c:v>3.0150753768844223</c:v>
                </c:pt>
                <c:pt idx="18">
                  <c:v>1.7857142857142858</c:v>
                </c:pt>
                <c:pt idx="19">
                  <c:v>1.5075376884422111</c:v>
                </c:pt>
                <c:pt idx="20">
                  <c:v>2.9350104821802936</c:v>
                </c:pt>
                <c:pt idx="21">
                  <c:v>2.613065326633166</c:v>
                </c:pt>
                <c:pt idx="22">
                  <c:v>1.9073569482288828</c:v>
                </c:pt>
                <c:pt idx="23">
                  <c:v>2.7027027027027026</c:v>
                </c:pt>
                <c:pt idx="24">
                  <c:v>1.6877637130801688</c:v>
                </c:pt>
                <c:pt idx="25">
                  <c:v>2.9411764705882355</c:v>
                </c:pt>
                <c:pt idx="26">
                  <c:v>2.7111574556830029</c:v>
                </c:pt>
                <c:pt idx="27">
                  <c:v>1.9038076152304608</c:v>
                </c:pt>
                <c:pt idx="28">
                  <c:v>2.6901669758812616</c:v>
                </c:pt>
                <c:pt idx="29">
                  <c:v>2.1487603305785123</c:v>
                </c:pt>
                <c:pt idx="30">
                  <c:v>1.0775862068965518</c:v>
                </c:pt>
                <c:pt idx="31">
                  <c:v>1.4970059880239521</c:v>
                </c:pt>
                <c:pt idx="32">
                  <c:v>1.8404907975460123</c:v>
                </c:pt>
                <c:pt idx="33">
                  <c:v>1.8416206261510129</c:v>
                </c:pt>
                <c:pt idx="34">
                  <c:v>1.909307875894988</c:v>
                </c:pt>
                <c:pt idx="35">
                  <c:v>1.3341804320203303</c:v>
                </c:pt>
                <c:pt idx="36">
                  <c:v>2.3845007451564828</c:v>
                </c:pt>
                <c:pt idx="37">
                  <c:v>1.7906336088154271</c:v>
                </c:pt>
                <c:pt idx="38">
                  <c:v>1.1527377521613833</c:v>
                </c:pt>
                <c:pt idx="39">
                  <c:v>2.1276595744680851</c:v>
                </c:pt>
                <c:pt idx="40">
                  <c:v>1.3177159590043923</c:v>
                </c:pt>
                <c:pt idx="41">
                  <c:v>1.7441860465116279</c:v>
                </c:pt>
                <c:pt idx="42">
                  <c:v>3.8043478260869565</c:v>
                </c:pt>
                <c:pt idx="43">
                  <c:v>3.7323037323037322</c:v>
                </c:pt>
                <c:pt idx="44">
                  <c:v>1.5595757953836555</c:v>
                </c:pt>
                <c:pt idx="45">
                  <c:v>0.79051383399209485</c:v>
                </c:pt>
                <c:pt idx="46">
                  <c:v>1.7667844522968197</c:v>
                </c:pt>
                <c:pt idx="47">
                  <c:v>2.2831050228310503</c:v>
                </c:pt>
                <c:pt idx="48">
                  <c:v>3.0726256983240225</c:v>
                </c:pt>
                <c:pt idx="49">
                  <c:v>1.8821603927986907</c:v>
                </c:pt>
                <c:pt idx="50">
                  <c:v>1.6883116883116882</c:v>
                </c:pt>
                <c:pt idx="51">
                  <c:v>3.3439490445859872</c:v>
                </c:pt>
                <c:pt idx="52">
                  <c:v>2.7932960893854748</c:v>
                </c:pt>
                <c:pt idx="53">
                  <c:v>1.4598540145985401</c:v>
                </c:pt>
                <c:pt idx="54">
                  <c:v>2.3255813953488373</c:v>
                </c:pt>
                <c:pt idx="55">
                  <c:v>2.8629856850715747</c:v>
                </c:pt>
                <c:pt idx="56">
                  <c:v>2.7314112291350532</c:v>
                </c:pt>
                <c:pt idx="57">
                  <c:v>1.8065887353878853</c:v>
                </c:pt>
                <c:pt idx="58">
                  <c:v>2.0050125313283207</c:v>
                </c:pt>
                <c:pt idx="59">
                  <c:v>1.899335232668566</c:v>
                </c:pt>
                <c:pt idx="60">
                  <c:v>1.6313213703099512</c:v>
                </c:pt>
                <c:pt idx="61">
                  <c:v>2.6284348864994027</c:v>
                </c:pt>
                <c:pt idx="62">
                  <c:v>2.4390243902439024</c:v>
                </c:pt>
                <c:pt idx="63">
                  <c:v>3.4883720930232558</c:v>
                </c:pt>
                <c:pt idx="64">
                  <c:v>1.6355140186915889</c:v>
                </c:pt>
                <c:pt idx="65">
                  <c:v>0.99800399201596801</c:v>
                </c:pt>
                <c:pt idx="66">
                  <c:v>2.1645021645021645</c:v>
                </c:pt>
                <c:pt idx="67">
                  <c:v>1.4492753623188406</c:v>
                </c:pt>
                <c:pt idx="68">
                  <c:v>1.1507479861910241</c:v>
                </c:pt>
                <c:pt idx="69">
                  <c:v>0.99601593625498008</c:v>
                </c:pt>
                <c:pt idx="70">
                  <c:v>3.5164835164835164</c:v>
                </c:pt>
                <c:pt idx="71">
                  <c:v>1.4893617021276595</c:v>
                </c:pt>
                <c:pt idx="72">
                  <c:v>1.6666666666666667</c:v>
                </c:pt>
                <c:pt idx="73">
                  <c:v>4.0201005025125625</c:v>
                </c:pt>
                <c:pt idx="74">
                  <c:v>3.303964757709251</c:v>
                </c:pt>
                <c:pt idx="75">
                  <c:v>1.466275659824047</c:v>
                </c:pt>
                <c:pt idx="76">
                  <c:v>1.5287769784172662</c:v>
                </c:pt>
                <c:pt idx="77">
                  <c:v>1.1326860841423949</c:v>
                </c:pt>
                <c:pt idx="78">
                  <c:v>1.6817593790426908</c:v>
                </c:pt>
                <c:pt idx="79">
                  <c:v>2.0905923344947737</c:v>
                </c:pt>
                <c:pt idx="80">
                  <c:v>2.0356234096692112</c:v>
                </c:pt>
                <c:pt idx="81">
                  <c:v>1.8394648829431439</c:v>
                </c:pt>
                <c:pt idx="82">
                  <c:v>2.4918743228602382</c:v>
                </c:pt>
                <c:pt idx="83">
                  <c:v>2.593010146561443</c:v>
                </c:pt>
                <c:pt idx="84">
                  <c:v>2.3121387283236996</c:v>
                </c:pt>
                <c:pt idx="85">
                  <c:v>2.9585798816568047</c:v>
                </c:pt>
                <c:pt idx="86">
                  <c:v>2.7818448023426061</c:v>
                </c:pt>
                <c:pt idx="87">
                  <c:v>2.0408163265306123</c:v>
                </c:pt>
                <c:pt idx="88">
                  <c:v>2.3391812865497075</c:v>
                </c:pt>
                <c:pt idx="89">
                  <c:v>1.6129032258064515</c:v>
                </c:pt>
                <c:pt idx="90">
                  <c:v>1.9148936170212767</c:v>
                </c:pt>
                <c:pt idx="91">
                  <c:v>2.2592152199762188</c:v>
                </c:pt>
                <c:pt idx="92">
                  <c:v>1.2465373961218837</c:v>
                </c:pt>
                <c:pt idx="93">
                  <c:v>0.84635416666666663</c:v>
                </c:pt>
                <c:pt idx="94">
                  <c:v>1.556970983722576</c:v>
                </c:pt>
                <c:pt idx="95">
                  <c:v>0</c:v>
                </c:pt>
                <c:pt idx="96">
                  <c:v>0</c:v>
                </c:pt>
                <c:pt idx="97">
                  <c:v>1.4121800529567521</c:v>
                </c:pt>
                <c:pt idx="98">
                  <c:v>1.8450184501845019</c:v>
                </c:pt>
                <c:pt idx="99">
                  <c:v>1.5719467956469166</c:v>
                </c:pt>
                <c:pt idx="100">
                  <c:v>2.3004059539918811</c:v>
                </c:pt>
                <c:pt idx="101">
                  <c:v>1.4358108108108107</c:v>
                </c:pt>
                <c:pt idx="102">
                  <c:v>1.9607843137254901</c:v>
                </c:pt>
                <c:pt idx="103">
                  <c:v>0</c:v>
                </c:pt>
                <c:pt idx="104">
                  <c:v>0</c:v>
                </c:pt>
                <c:pt idx="105">
                  <c:v>2.1656050955414012</c:v>
                </c:pt>
                <c:pt idx="106">
                  <c:v>2.3136246786632393</c:v>
                </c:pt>
                <c:pt idx="107">
                  <c:v>3.5885167464114831</c:v>
                </c:pt>
                <c:pt idx="108">
                  <c:v>1.9193857965451055</c:v>
                </c:pt>
                <c:pt idx="109">
                  <c:v>1.6736401673640167</c:v>
                </c:pt>
                <c:pt idx="110">
                  <c:v>1.2278308321964528</c:v>
                </c:pt>
                <c:pt idx="111">
                  <c:v>1.7580144777662874</c:v>
                </c:pt>
                <c:pt idx="112">
                  <c:v>1.8907563025210083</c:v>
                </c:pt>
                <c:pt idx="113">
                  <c:v>0.65466448445171854</c:v>
                </c:pt>
                <c:pt idx="114">
                  <c:v>2.5806451612903225</c:v>
                </c:pt>
                <c:pt idx="115">
                  <c:v>1.75</c:v>
                </c:pt>
                <c:pt idx="116">
                  <c:v>2.0858895705521472</c:v>
                </c:pt>
                <c:pt idx="117">
                  <c:v>1.4511873350923483</c:v>
                </c:pt>
                <c:pt idx="118">
                  <c:v>0</c:v>
                </c:pt>
                <c:pt idx="119">
                  <c:v>2.4826216484607744</c:v>
                </c:pt>
                <c:pt idx="120">
                  <c:v>1.3812154696132597</c:v>
                </c:pt>
                <c:pt idx="121">
                  <c:v>1.6033755274261603</c:v>
                </c:pt>
                <c:pt idx="122">
                  <c:v>2.5373134328358211</c:v>
                </c:pt>
                <c:pt idx="123">
                  <c:v>2.9166666666666665</c:v>
                </c:pt>
                <c:pt idx="124">
                  <c:v>2.342786683107275</c:v>
                </c:pt>
                <c:pt idx="125">
                  <c:v>2.9619181946403383</c:v>
                </c:pt>
                <c:pt idx="126">
                  <c:v>2.1765417170495769</c:v>
                </c:pt>
                <c:pt idx="127">
                  <c:v>2.21606648199446</c:v>
                </c:pt>
                <c:pt idx="128">
                  <c:v>1.8258426966292134</c:v>
                </c:pt>
                <c:pt idx="129">
                  <c:v>3.3457249070631971</c:v>
                </c:pt>
                <c:pt idx="130">
                  <c:v>2.8301886792452828</c:v>
                </c:pt>
                <c:pt idx="131">
                  <c:v>1.2422360248447204</c:v>
                </c:pt>
                <c:pt idx="132">
                  <c:v>0.99403578528827041</c:v>
                </c:pt>
                <c:pt idx="133">
                  <c:v>1.6326530612244898</c:v>
                </c:pt>
                <c:pt idx="134">
                  <c:v>2.4528301886792452</c:v>
                </c:pt>
                <c:pt idx="135">
                  <c:v>2.6285714285714286</c:v>
                </c:pt>
                <c:pt idx="136">
                  <c:v>0.87412587412587417</c:v>
                </c:pt>
                <c:pt idx="137">
                  <c:v>1.4553014553014554</c:v>
                </c:pt>
                <c:pt idx="138">
                  <c:v>2.2388059701492535</c:v>
                </c:pt>
                <c:pt idx="139">
                  <c:v>4.0160642570281126</c:v>
                </c:pt>
                <c:pt idx="140">
                  <c:v>0.31771247021445592</c:v>
                </c:pt>
                <c:pt idx="141">
                  <c:v>1.6011644832605532</c:v>
                </c:pt>
                <c:pt idx="142">
                  <c:v>2.5672371638141809</c:v>
                </c:pt>
                <c:pt idx="143">
                  <c:v>1.4360313315926894</c:v>
                </c:pt>
                <c:pt idx="144">
                  <c:v>2.3316062176165802</c:v>
                </c:pt>
                <c:pt idx="145">
                  <c:v>4.0511727078891262</c:v>
                </c:pt>
                <c:pt idx="146">
                  <c:v>0.2770083102493075</c:v>
                </c:pt>
                <c:pt idx="147">
                  <c:v>2.1374045801526718</c:v>
                </c:pt>
                <c:pt idx="148">
                  <c:v>2.818489289740699</c:v>
                </c:pt>
                <c:pt idx="149">
                  <c:v>2.4691358024691357</c:v>
                </c:pt>
                <c:pt idx="150">
                  <c:v>2.42914979757085</c:v>
                </c:pt>
                <c:pt idx="151">
                  <c:v>3.2755298651252409</c:v>
                </c:pt>
                <c:pt idx="152">
                  <c:v>2.073365231259968</c:v>
                </c:pt>
                <c:pt idx="153">
                  <c:v>1.9762845849802371</c:v>
                </c:pt>
                <c:pt idx="154">
                  <c:v>2.4353120243531201</c:v>
                </c:pt>
                <c:pt idx="155">
                  <c:v>1.7883755588673622</c:v>
                </c:pt>
                <c:pt idx="156">
                  <c:v>0.71138211382113825</c:v>
                </c:pt>
                <c:pt idx="157">
                  <c:v>0.5</c:v>
                </c:pt>
                <c:pt idx="158">
                  <c:v>3.674540682414698</c:v>
                </c:pt>
                <c:pt idx="159">
                  <c:v>1.9963702359346642</c:v>
                </c:pt>
                <c:pt idx="160">
                  <c:v>1.2396694214876034</c:v>
                </c:pt>
                <c:pt idx="161">
                  <c:v>2.1248339973439574</c:v>
                </c:pt>
                <c:pt idx="162">
                  <c:v>1.1477761836441893</c:v>
                </c:pt>
                <c:pt idx="163">
                  <c:v>4.1467304625199359</c:v>
                </c:pt>
                <c:pt idx="164">
                  <c:v>1.7027863777089782</c:v>
                </c:pt>
                <c:pt idx="165">
                  <c:v>2.7649769585253456</c:v>
                </c:pt>
                <c:pt idx="166">
                  <c:v>1.2195121951219512</c:v>
                </c:pt>
                <c:pt idx="167">
                  <c:v>1.2389380530973451</c:v>
                </c:pt>
                <c:pt idx="168">
                  <c:v>2.459016393442623</c:v>
                </c:pt>
                <c:pt idx="169">
                  <c:v>1.680672268907563</c:v>
                </c:pt>
                <c:pt idx="170">
                  <c:v>1.6245487364620939</c:v>
                </c:pt>
                <c:pt idx="171">
                  <c:v>1.6574585635359116</c:v>
                </c:pt>
                <c:pt idx="172">
                  <c:v>1.6172506738544474</c:v>
                </c:pt>
                <c:pt idx="173">
                  <c:v>1.5503875968992249</c:v>
                </c:pt>
                <c:pt idx="174">
                  <c:v>2.0618556701030926</c:v>
                </c:pt>
                <c:pt idx="175">
                  <c:v>2.0942408376963351</c:v>
                </c:pt>
                <c:pt idx="176">
                  <c:v>2.1251475796930341</c:v>
                </c:pt>
                <c:pt idx="177">
                  <c:v>2.0408163265306123</c:v>
                </c:pt>
                <c:pt idx="178">
                  <c:v>1.40597539543058</c:v>
                </c:pt>
                <c:pt idx="179">
                  <c:v>0.36166365280289331</c:v>
                </c:pt>
                <c:pt idx="180">
                  <c:v>1.1379800853485065</c:v>
                </c:pt>
                <c:pt idx="181">
                  <c:v>1.4285714285714286</c:v>
                </c:pt>
              </c:numCache>
            </c:numRef>
          </c:yVal>
          <c:bubbleSize>
            <c:numRef>
              <c:f>'Дума одномандатный'!$J$2:$J$183</c:f>
              <c:numCache>
                <c:formatCode>General</c:formatCode>
                <c:ptCount val="182"/>
                <c:pt idx="0">
                  <c:v>2451</c:v>
                </c:pt>
                <c:pt idx="1">
                  <c:v>1779</c:v>
                </c:pt>
                <c:pt idx="2">
                  <c:v>1942</c:v>
                </c:pt>
                <c:pt idx="3">
                  <c:v>2100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377</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2224</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981</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176</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2210</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2924</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8-1915-4D2F-A61C-DFA9673AF133}"/>
            </c:ext>
          </c:extLst>
        </c:ser>
        <c:ser>
          <c:idx val="0"/>
          <c:order val="10"/>
          <c:tx>
            <c:strRef>
              <c:f>'Дума одномандатный'!$W$1</c:f>
              <c:strCache>
                <c:ptCount val="1"/>
                <c:pt idx="0">
                  <c:v>Недействительных</c:v>
                </c:pt>
              </c:strCache>
            </c:strRef>
          </c:tx>
          <c:spPr>
            <a:noFill/>
            <a:ln w="6350">
              <a:solidFill>
                <a:srgbClr val="000000"/>
              </a:solidFill>
            </a:ln>
          </c:spPr>
          <c:invertIfNegative val="0"/>
          <c:xVal>
            <c:numRef>
              <c:f>'Дума одномандатный'!$O$2:$O$183</c:f>
              <c:numCache>
                <c:formatCode>0.0</c:formatCode>
                <c:ptCount val="182"/>
                <c:pt idx="0">
                  <c:v>63.484292125662996</c:v>
                </c:pt>
                <c:pt idx="1">
                  <c:v>54.187745924676783</c:v>
                </c:pt>
                <c:pt idx="2">
                  <c:v>55.818743563336767</c:v>
                </c:pt>
                <c:pt idx="3">
                  <c:v>56</c:v>
                </c:pt>
                <c:pt idx="4">
                  <c:v>49.812130971551262</c:v>
                </c:pt>
                <c:pt idx="5">
                  <c:v>51.432958034800407</c:v>
                </c:pt>
                <c:pt idx="6">
                  <c:v>56.158134820070956</c:v>
                </c:pt>
                <c:pt idx="7">
                  <c:v>71.452328159645234</c:v>
                </c:pt>
                <c:pt idx="8">
                  <c:v>73.707753479125245</c:v>
                </c:pt>
                <c:pt idx="9">
                  <c:v>37.016574585635361</c:v>
                </c:pt>
                <c:pt idx="10">
                  <c:v>25.407309555262</c:v>
                </c:pt>
                <c:pt idx="11">
                  <c:v>72.562358276643991</c:v>
                </c:pt>
                <c:pt idx="12">
                  <c:v>52.684258416742495</c:v>
                </c:pt>
                <c:pt idx="13">
                  <c:v>35.041666666666664</c:v>
                </c:pt>
                <c:pt idx="14">
                  <c:v>48.151191454396056</c:v>
                </c:pt>
                <c:pt idx="15">
                  <c:v>29.507364144235652</c:v>
                </c:pt>
                <c:pt idx="16">
                  <c:v>44.562334217506631</c:v>
                </c:pt>
                <c:pt idx="17">
                  <c:v>32.345876701361092</c:v>
                </c:pt>
                <c:pt idx="18">
                  <c:v>48.951048951048953</c:v>
                </c:pt>
                <c:pt idx="19">
                  <c:v>36.920222634508349</c:v>
                </c:pt>
                <c:pt idx="20">
                  <c:v>26.006528835690968</c:v>
                </c:pt>
                <c:pt idx="21">
                  <c:v>47.85954785954786</c:v>
                </c:pt>
                <c:pt idx="22">
                  <c:v>33.137697516930025</c:v>
                </c:pt>
                <c:pt idx="23">
                  <c:v>37.266187050359711</c:v>
                </c:pt>
                <c:pt idx="24">
                  <c:v>31.379462318201853</c:v>
                </c:pt>
                <c:pt idx="25">
                  <c:v>38.636363636363633</c:v>
                </c:pt>
                <c:pt idx="26">
                  <c:v>47.569444444444443</c:v>
                </c:pt>
                <c:pt idx="27">
                  <c:v>43.30472103004292</c:v>
                </c:pt>
                <c:pt idx="28">
                  <c:v>48.960216998191683</c:v>
                </c:pt>
                <c:pt idx="29">
                  <c:v>34.414106939704212</c:v>
                </c:pt>
                <c:pt idx="30">
                  <c:v>41.391614629794823</c:v>
                </c:pt>
                <c:pt idx="31">
                  <c:v>30.035971223021583</c:v>
                </c:pt>
                <c:pt idx="32">
                  <c:v>37.808641975308639</c:v>
                </c:pt>
                <c:pt idx="33">
                  <c:v>95.27145359019265</c:v>
                </c:pt>
                <c:pt idx="34">
                  <c:v>43.419689119170982</c:v>
                </c:pt>
                <c:pt idx="35">
                  <c:v>59.961904761904762</c:v>
                </c:pt>
                <c:pt idx="36">
                  <c:v>80.892103676913806</c:v>
                </c:pt>
                <c:pt idx="37">
                  <c:v>37.891440501043839</c:v>
                </c:pt>
                <c:pt idx="38">
                  <c:v>40.490081680280049</c:v>
                </c:pt>
                <c:pt idx="39">
                  <c:v>40.014164305949009</c:v>
                </c:pt>
                <c:pt idx="40">
                  <c:v>35.019646365422396</c:v>
                </c:pt>
                <c:pt idx="41">
                  <c:v>30.76923076923077</c:v>
                </c:pt>
                <c:pt idx="42">
                  <c:v>34.175334323922733</c:v>
                </c:pt>
                <c:pt idx="43">
                  <c:v>34.108527131782942</c:v>
                </c:pt>
                <c:pt idx="44">
                  <c:v>66.542133665421332</c:v>
                </c:pt>
                <c:pt idx="45">
                  <c:v>77.573904179408771</c:v>
                </c:pt>
                <c:pt idx="46">
                  <c:v>64.759725400457668</c:v>
                </c:pt>
                <c:pt idx="47">
                  <c:v>40.934579439252339</c:v>
                </c:pt>
                <c:pt idx="48">
                  <c:v>46.253229974160206</c:v>
                </c:pt>
                <c:pt idx="49">
                  <c:v>54.984354045596781</c:v>
                </c:pt>
                <c:pt idx="50">
                  <c:v>40.935672514619881</c:v>
                </c:pt>
                <c:pt idx="51">
                  <c:v>37.672465506898618</c:v>
                </c:pt>
                <c:pt idx="52">
                  <c:v>42.771804062126641</c:v>
                </c:pt>
                <c:pt idx="53">
                  <c:v>78.285714285714292</c:v>
                </c:pt>
                <c:pt idx="54">
                  <c:v>33.782267115600447</c:v>
                </c:pt>
                <c:pt idx="55">
                  <c:v>33.562113932738505</c:v>
                </c:pt>
                <c:pt idx="56">
                  <c:v>43.99198931909212</c:v>
                </c:pt>
                <c:pt idx="57">
                  <c:v>35.322822822822822</c:v>
                </c:pt>
                <c:pt idx="58">
                  <c:v>28.550983899821109</c:v>
                </c:pt>
                <c:pt idx="59">
                  <c:v>40.453323088743758</c:v>
                </c:pt>
                <c:pt idx="60">
                  <c:v>38.582677165354333</c:v>
                </c:pt>
                <c:pt idx="61">
                  <c:v>44.122298365840798</c:v>
                </c:pt>
                <c:pt idx="62">
                  <c:v>26.386138613861387</c:v>
                </c:pt>
                <c:pt idx="63">
                  <c:v>26.959247648902821</c:v>
                </c:pt>
                <c:pt idx="64">
                  <c:v>29.1156462585034</c:v>
                </c:pt>
                <c:pt idx="65">
                  <c:v>57.634902411021812</c:v>
                </c:pt>
                <c:pt idx="66">
                  <c:v>64.978902953586498</c:v>
                </c:pt>
                <c:pt idx="67">
                  <c:v>51.035502958579883</c:v>
                </c:pt>
                <c:pt idx="68">
                  <c:v>46.972972972972975</c:v>
                </c:pt>
                <c:pt idx="69">
                  <c:v>52.648138437336129</c:v>
                </c:pt>
                <c:pt idx="70">
                  <c:v>36.752827140549272</c:v>
                </c:pt>
                <c:pt idx="71">
                  <c:v>41.978609625668447</c:v>
                </c:pt>
                <c:pt idx="72">
                  <c:v>40.397350993377486</c:v>
                </c:pt>
                <c:pt idx="73">
                  <c:v>22.40990990990991</c:v>
                </c:pt>
                <c:pt idx="74">
                  <c:v>34.809160305343511</c:v>
                </c:pt>
                <c:pt idx="75">
                  <c:v>51.278195488721806</c:v>
                </c:pt>
                <c:pt idx="76">
                  <c:v>54.563297350343476</c:v>
                </c:pt>
                <c:pt idx="77">
                  <c:v>60.084033613445378</c:v>
                </c:pt>
                <c:pt idx="78">
                  <c:v>50.821827744904667</c:v>
                </c:pt>
                <c:pt idx="79">
                  <c:v>40.422535211267608</c:v>
                </c:pt>
                <c:pt idx="80">
                  <c:v>51.540983606557376</c:v>
                </c:pt>
                <c:pt idx="81">
                  <c:v>40.625</c:v>
                </c:pt>
                <c:pt idx="82">
                  <c:v>47.904811174340402</c:v>
                </c:pt>
                <c:pt idx="83">
                  <c:v>43.352883675464319</c:v>
                </c:pt>
                <c:pt idx="84">
                  <c:v>40.621336459554513</c:v>
                </c:pt>
                <c:pt idx="85">
                  <c:v>39.648093841642229</c:v>
                </c:pt>
                <c:pt idx="86">
                  <c:v>44.669718770438195</c:v>
                </c:pt>
                <c:pt idx="87">
                  <c:v>35.388888888888886</c:v>
                </c:pt>
                <c:pt idx="88">
                  <c:v>35.514018691588788</c:v>
                </c:pt>
                <c:pt idx="89">
                  <c:v>44.083291010665313</c:v>
                </c:pt>
                <c:pt idx="90">
                  <c:v>49.188906331763476</c:v>
                </c:pt>
                <c:pt idx="91">
                  <c:v>51.062537947783852</c:v>
                </c:pt>
                <c:pt idx="92">
                  <c:v>54.863221884498479</c:v>
                </c:pt>
                <c:pt idx="93">
                  <c:v>63.973344439816742</c:v>
                </c:pt>
                <c:pt idx="94">
                  <c:v>66.090611863615138</c:v>
                </c:pt>
                <c:pt idx="95">
                  <c:v>64.959349593495929</c:v>
                </c:pt>
                <c:pt idx="96">
                  <c:v>53.224043715846996</c:v>
                </c:pt>
                <c:pt idx="97">
                  <c:v>47.465437788018434</c:v>
                </c:pt>
                <c:pt idx="98">
                  <c:v>52.964169381107489</c:v>
                </c:pt>
                <c:pt idx="99">
                  <c:v>31.266540642722116</c:v>
                </c:pt>
                <c:pt idx="100">
                  <c:v>36.172295643661279</c:v>
                </c:pt>
                <c:pt idx="101">
                  <c:v>55.275443510737631</c:v>
                </c:pt>
                <c:pt idx="102">
                  <c:v>56.983805668016196</c:v>
                </c:pt>
                <c:pt idx="103">
                  <c:v>100</c:v>
                </c:pt>
                <c:pt idx="104">
                  <c:v>90.865384615384613</c:v>
                </c:pt>
                <c:pt idx="105">
                  <c:v>45.037292025243829</c:v>
                </c:pt>
                <c:pt idx="106">
                  <c:v>34.424778761061944</c:v>
                </c:pt>
                <c:pt idx="107">
                  <c:v>36.03448275862069</c:v>
                </c:pt>
                <c:pt idx="108">
                  <c:v>40.813135261923378</c:v>
                </c:pt>
                <c:pt idx="109">
                  <c:v>37.786561264822133</c:v>
                </c:pt>
                <c:pt idx="110">
                  <c:v>42.10526315789474</c:v>
                </c:pt>
                <c:pt idx="111">
                  <c:v>39.198131568703779</c:v>
                </c:pt>
                <c:pt idx="112">
                  <c:v>39.279869067103107</c:v>
                </c:pt>
                <c:pt idx="113">
                  <c:v>42.108890420399725</c:v>
                </c:pt>
                <c:pt idx="114">
                  <c:v>38.65336658354115</c:v>
                </c:pt>
                <c:pt idx="115">
                  <c:v>35.413899955732624</c:v>
                </c:pt>
                <c:pt idx="116">
                  <c:v>44.002151694459386</c:v>
                </c:pt>
                <c:pt idx="117">
                  <c:v>36.372360844529751</c:v>
                </c:pt>
                <c:pt idx="118">
                  <c:v>0</c:v>
                </c:pt>
                <c:pt idx="119">
                  <c:v>41.481481481481481</c:v>
                </c:pt>
                <c:pt idx="120">
                  <c:v>32.568600989653618</c:v>
                </c:pt>
                <c:pt idx="121">
                  <c:v>51.320918146383718</c:v>
                </c:pt>
                <c:pt idx="122">
                  <c:v>33.550325488232346</c:v>
                </c:pt>
                <c:pt idx="123">
                  <c:v>35.837864557587743</c:v>
                </c:pt>
                <c:pt idx="124">
                  <c:v>43.155339805825243</c:v>
                </c:pt>
                <c:pt idx="125">
                  <c:v>40.560640732265448</c:v>
                </c:pt>
                <c:pt idx="126">
                  <c:v>36.066288704753596</c:v>
                </c:pt>
                <c:pt idx="127">
                  <c:v>33.364140480591495</c:v>
                </c:pt>
                <c:pt idx="128">
                  <c:v>35.832913940613992</c:v>
                </c:pt>
                <c:pt idx="129">
                  <c:v>41.194486983154668</c:v>
                </c:pt>
                <c:pt idx="130">
                  <c:v>70.199587061252586</c:v>
                </c:pt>
                <c:pt idx="131">
                  <c:v>31.971465629053178</c:v>
                </c:pt>
                <c:pt idx="132">
                  <c:v>34.171195652173914</c:v>
                </c:pt>
                <c:pt idx="133">
                  <c:v>33.630748112560056</c:v>
                </c:pt>
                <c:pt idx="134">
                  <c:v>28.648648648648649</c:v>
                </c:pt>
                <c:pt idx="135">
                  <c:v>41.429924242424242</c:v>
                </c:pt>
                <c:pt idx="136">
                  <c:v>55.265700483091784</c:v>
                </c:pt>
                <c:pt idx="137">
                  <c:v>50.684210526315788</c:v>
                </c:pt>
                <c:pt idx="138">
                  <c:v>36.419213973799124</c:v>
                </c:pt>
                <c:pt idx="139">
                  <c:v>34.091943559399184</c:v>
                </c:pt>
                <c:pt idx="140">
                  <c:v>69.944444444444443</c:v>
                </c:pt>
                <c:pt idx="141">
                  <c:v>31.717451523545705</c:v>
                </c:pt>
                <c:pt idx="142">
                  <c:v>40.26290165530672</c:v>
                </c:pt>
                <c:pt idx="143">
                  <c:v>36.320531057373159</c:v>
                </c:pt>
                <c:pt idx="144">
                  <c:v>30.732484076433121</c:v>
                </c:pt>
                <c:pt idx="145">
                  <c:v>36.871069182389938</c:v>
                </c:pt>
                <c:pt idx="146">
                  <c:v>35.288367546432063</c:v>
                </c:pt>
                <c:pt idx="147">
                  <c:v>34.275248560962844</c:v>
                </c:pt>
                <c:pt idx="148">
                  <c:v>38.125802310654684</c:v>
                </c:pt>
                <c:pt idx="149">
                  <c:v>40.316742081447963</c:v>
                </c:pt>
                <c:pt idx="150">
                  <c:v>28.046934140802421</c:v>
                </c:pt>
                <c:pt idx="151">
                  <c:v>28.618602091359385</c:v>
                </c:pt>
                <c:pt idx="152">
                  <c:v>32.336255801959773</c:v>
                </c:pt>
                <c:pt idx="153">
                  <c:v>24.444444444444443</c:v>
                </c:pt>
                <c:pt idx="154">
                  <c:v>28.752735229759299</c:v>
                </c:pt>
                <c:pt idx="155">
                  <c:v>26.303410427283417</c:v>
                </c:pt>
                <c:pt idx="156">
                  <c:v>32.887700534759361</c:v>
                </c:pt>
                <c:pt idx="157">
                  <c:v>53.324468085106382</c:v>
                </c:pt>
                <c:pt idx="158">
                  <c:v>50.189155107187894</c:v>
                </c:pt>
                <c:pt idx="159">
                  <c:v>32.23570190641248</c:v>
                </c:pt>
                <c:pt idx="160">
                  <c:v>44.567219152854513</c:v>
                </c:pt>
                <c:pt idx="161">
                  <c:v>26.778385772913818</c:v>
                </c:pt>
                <c:pt idx="162">
                  <c:v>26.083707025411062</c:v>
                </c:pt>
                <c:pt idx="163">
                  <c:v>26.590330788804071</c:v>
                </c:pt>
                <c:pt idx="164">
                  <c:v>29.204339963833636</c:v>
                </c:pt>
                <c:pt idx="165">
                  <c:v>26.91194708557255</c:v>
                </c:pt>
                <c:pt idx="166">
                  <c:v>22.96983758700696</c:v>
                </c:pt>
                <c:pt idx="167">
                  <c:v>24.077999152183128</c:v>
                </c:pt>
                <c:pt idx="168">
                  <c:v>24.746450304259636</c:v>
                </c:pt>
                <c:pt idx="169">
                  <c:v>16.688918558077436</c:v>
                </c:pt>
                <c:pt idx="170">
                  <c:v>20.803604956815622</c:v>
                </c:pt>
                <c:pt idx="171">
                  <c:v>42.521534847298355</c:v>
                </c:pt>
                <c:pt idx="172">
                  <c:v>34.256694367497694</c:v>
                </c:pt>
                <c:pt idx="173">
                  <c:v>31.412337662337663</c:v>
                </c:pt>
                <c:pt idx="174">
                  <c:v>37.596899224806201</c:v>
                </c:pt>
                <c:pt idx="175">
                  <c:v>37.201166180758015</c:v>
                </c:pt>
                <c:pt idx="176">
                  <c:v>49.561146869514339</c:v>
                </c:pt>
                <c:pt idx="177">
                  <c:v>62.228594838181074</c:v>
                </c:pt>
                <c:pt idx="178">
                  <c:v>31.506090808416388</c:v>
                </c:pt>
                <c:pt idx="179">
                  <c:v>42.149390243902438</c:v>
                </c:pt>
                <c:pt idx="180">
                  <c:v>42.400482509047045</c:v>
                </c:pt>
                <c:pt idx="181">
                  <c:v>26.266416510318951</c:v>
                </c:pt>
              </c:numCache>
            </c:numRef>
          </c:xVal>
          <c:yVal>
            <c:numRef>
              <c:f>'Дума одномандатный'!$W$2:$W$183</c:f>
              <c:numCache>
                <c:formatCode>0.0</c:formatCode>
                <c:ptCount val="182"/>
                <c:pt idx="0">
                  <c:v>2.6992287917737787</c:v>
                </c:pt>
                <c:pt idx="1">
                  <c:v>2.393340270551509</c:v>
                </c:pt>
                <c:pt idx="2">
                  <c:v>2.4953789279112755</c:v>
                </c:pt>
                <c:pt idx="3">
                  <c:v>3.9249146757679183</c:v>
                </c:pt>
                <c:pt idx="4">
                  <c:v>4</c:v>
                </c:pt>
                <c:pt idx="5">
                  <c:v>1.8072289156626506</c:v>
                </c:pt>
                <c:pt idx="6">
                  <c:v>3.4296028880866425</c:v>
                </c:pt>
                <c:pt idx="7">
                  <c:v>1.4855355746677092</c:v>
                </c:pt>
                <c:pt idx="8">
                  <c:v>2.157788267026298</c:v>
                </c:pt>
                <c:pt idx="9">
                  <c:v>6.5819861431870672</c:v>
                </c:pt>
                <c:pt idx="10">
                  <c:v>6.9324090121317159</c:v>
                </c:pt>
                <c:pt idx="11">
                  <c:v>2.1875</c:v>
                </c:pt>
                <c:pt idx="12">
                  <c:v>3.6269430051813472</c:v>
                </c:pt>
                <c:pt idx="13">
                  <c:v>2.7348394768133173</c:v>
                </c:pt>
                <c:pt idx="14">
                  <c:v>5.4607508532423212</c:v>
                </c:pt>
                <c:pt idx="15">
                  <c:v>6.8846815834767643</c:v>
                </c:pt>
                <c:pt idx="16">
                  <c:v>2.3809523809523809</c:v>
                </c:pt>
                <c:pt idx="17">
                  <c:v>5.025125628140704</c:v>
                </c:pt>
                <c:pt idx="18">
                  <c:v>7.3809523809523814</c:v>
                </c:pt>
                <c:pt idx="19">
                  <c:v>5.025125628140704</c:v>
                </c:pt>
                <c:pt idx="20">
                  <c:v>4.4025157232704402</c:v>
                </c:pt>
                <c:pt idx="21">
                  <c:v>3.6180904522613067</c:v>
                </c:pt>
                <c:pt idx="22">
                  <c:v>2.7247956403269753</c:v>
                </c:pt>
                <c:pt idx="23">
                  <c:v>4.5045045045045047</c:v>
                </c:pt>
                <c:pt idx="24">
                  <c:v>5.6258790436005626</c:v>
                </c:pt>
                <c:pt idx="25">
                  <c:v>6.4950980392156863</c:v>
                </c:pt>
                <c:pt idx="26">
                  <c:v>4.4838373305526593</c:v>
                </c:pt>
                <c:pt idx="27">
                  <c:v>6.3126252505010019</c:v>
                </c:pt>
                <c:pt idx="28">
                  <c:v>5.8441558441558445</c:v>
                </c:pt>
                <c:pt idx="29">
                  <c:v>6.115702479338843</c:v>
                </c:pt>
                <c:pt idx="30">
                  <c:v>4.5258620689655169</c:v>
                </c:pt>
                <c:pt idx="31">
                  <c:v>6.7365269461077846</c:v>
                </c:pt>
                <c:pt idx="32">
                  <c:v>2.6584867075664622</c:v>
                </c:pt>
                <c:pt idx="33">
                  <c:v>9.7605893186003687</c:v>
                </c:pt>
                <c:pt idx="34">
                  <c:v>0.95465393794749398</c:v>
                </c:pt>
                <c:pt idx="35">
                  <c:v>3.0495552731893265</c:v>
                </c:pt>
                <c:pt idx="36">
                  <c:v>0</c:v>
                </c:pt>
                <c:pt idx="37">
                  <c:v>3.8567493112947657</c:v>
                </c:pt>
                <c:pt idx="38">
                  <c:v>7.7809798270893369</c:v>
                </c:pt>
                <c:pt idx="39">
                  <c:v>6.205673758865248</c:v>
                </c:pt>
                <c:pt idx="40">
                  <c:v>14.055636896046853</c:v>
                </c:pt>
                <c:pt idx="41">
                  <c:v>11.627906976744185</c:v>
                </c:pt>
                <c:pt idx="42">
                  <c:v>6.3043478260869561</c:v>
                </c:pt>
                <c:pt idx="43">
                  <c:v>7.2072072072072073</c:v>
                </c:pt>
                <c:pt idx="44">
                  <c:v>7.1116656269494696</c:v>
                </c:pt>
                <c:pt idx="45">
                  <c:v>2.3715415019762847</c:v>
                </c:pt>
                <c:pt idx="46">
                  <c:v>0</c:v>
                </c:pt>
                <c:pt idx="47">
                  <c:v>6.544901065449011</c:v>
                </c:pt>
                <c:pt idx="48">
                  <c:v>3.7709497206703912</c:v>
                </c:pt>
                <c:pt idx="49">
                  <c:v>5.1554828150572831</c:v>
                </c:pt>
                <c:pt idx="50">
                  <c:v>4.6753246753246751</c:v>
                </c:pt>
                <c:pt idx="51">
                  <c:v>5.2547770700636942</c:v>
                </c:pt>
                <c:pt idx="52">
                  <c:v>8.2402234636871512</c:v>
                </c:pt>
                <c:pt idx="53">
                  <c:v>2.4330900243309004</c:v>
                </c:pt>
                <c:pt idx="54">
                  <c:v>6.3122923588039868</c:v>
                </c:pt>
                <c:pt idx="55">
                  <c:v>5.112474437627812</c:v>
                </c:pt>
                <c:pt idx="56">
                  <c:v>3.3383915022761759</c:v>
                </c:pt>
                <c:pt idx="57">
                  <c:v>5.8448459086078639</c:v>
                </c:pt>
                <c:pt idx="58">
                  <c:v>3.3834586466165413</c:v>
                </c:pt>
                <c:pt idx="59">
                  <c:v>9.7815764482431149</c:v>
                </c:pt>
                <c:pt idx="60">
                  <c:v>3.4257748776508974</c:v>
                </c:pt>
                <c:pt idx="61">
                  <c:v>2.7479091995221028</c:v>
                </c:pt>
                <c:pt idx="62">
                  <c:v>20.637898686679176</c:v>
                </c:pt>
                <c:pt idx="63">
                  <c:v>4.6511627906976747</c:v>
                </c:pt>
                <c:pt idx="64">
                  <c:v>5.6074766355140184</c:v>
                </c:pt>
                <c:pt idx="65">
                  <c:v>6.3206919494344644</c:v>
                </c:pt>
                <c:pt idx="66">
                  <c:v>5.1948051948051948</c:v>
                </c:pt>
                <c:pt idx="67">
                  <c:v>4.3478260869565215</c:v>
                </c:pt>
                <c:pt idx="68">
                  <c:v>8.1703107019562715</c:v>
                </c:pt>
                <c:pt idx="69">
                  <c:v>4.1832669322709162</c:v>
                </c:pt>
                <c:pt idx="70">
                  <c:v>5.4945054945054945</c:v>
                </c:pt>
                <c:pt idx="71">
                  <c:v>8.085106382978724</c:v>
                </c:pt>
                <c:pt idx="72">
                  <c:v>10.166666666666666</c:v>
                </c:pt>
                <c:pt idx="73">
                  <c:v>5.025125628140704</c:v>
                </c:pt>
                <c:pt idx="74">
                  <c:v>3.9647577092511015</c:v>
                </c:pt>
                <c:pt idx="75">
                  <c:v>3.225806451612903</c:v>
                </c:pt>
                <c:pt idx="76">
                  <c:v>6.2949640287769784</c:v>
                </c:pt>
                <c:pt idx="77">
                  <c:v>3.5598705501618122</c:v>
                </c:pt>
                <c:pt idx="78">
                  <c:v>4.1397153945666236</c:v>
                </c:pt>
                <c:pt idx="79">
                  <c:v>3.8327526132404182</c:v>
                </c:pt>
                <c:pt idx="80">
                  <c:v>6.8702290076335881</c:v>
                </c:pt>
                <c:pt idx="81">
                  <c:v>6.5217391304347823</c:v>
                </c:pt>
                <c:pt idx="82">
                  <c:v>6.1755146262188516</c:v>
                </c:pt>
                <c:pt idx="83">
                  <c:v>9.3573844419391214</c:v>
                </c:pt>
                <c:pt idx="84">
                  <c:v>3.4682080924855492</c:v>
                </c:pt>
                <c:pt idx="85">
                  <c:v>4.1420118343195265</c:v>
                </c:pt>
                <c:pt idx="86">
                  <c:v>7.9062957540263543</c:v>
                </c:pt>
                <c:pt idx="87">
                  <c:v>3.9246467817896389</c:v>
                </c:pt>
                <c:pt idx="88">
                  <c:v>5.9941520467836256</c:v>
                </c:pt>
                <c:pt idx="89">
                  <c:v>2.6497695852534564</c:v>
                </c:pt>
                <c:pt idx="90">
                  <c:v>4.1489361702127656</c:v>
                </c:pt>
                <c:pt idx="91">
                  <c:v>4.756242568370987</c:v>
                </c:pt>
                <c:pt idx="92">
                  <c:v>1.9390581717451523</c:v>
                </c:pt>
                <c:pt idx="93">
                  <c:v>3.0598958333333335</c:v>
                </c:pt>
                <c:pt idx="94">
                  <c:v>2.264685067232838</c:v>
                </c:pt>
                <c:pt idx="95">
                  <c:v>5.4945054945054945</c:v>
                </c:pt>
                <c:pt idx="96">
                  <c:v>1.0266940451745379</c:v>
                </c:pt>
                <c:pt idx="97">
                  <c:v>16.240070609002647</c:v>
                </c:pt>
                <c:pt idx="98">
                  <c:v>3.1980319803198034</c:v>
                </c:pt>
                <c:pt idx="99">
                  <c:v>8.3434099153567107</c:v>
                </c:pt>
                <c:pt idx="100">
                  <c:v>5.953991880920162</c:v>
                </c:pt>
                <c:pt idx="101">
                  <c:v>16.047297297297298</c:v>
                </c:pt>
                <c:pt idx="102">
                  <c:v>7.6648841354723709</c:v>
                </c:pt>
                <c:pt idx="103">
                  <c:v>0</c:v>
                </c:pt>
                <c:pt idx="104">
                  <c:v>6.666666666666667</c:v>
                </c:pt>
                <c:pt idx="105">
                  <c:v>4.0764331210191083</c:v>
                </c:pt>
                <c:pt idx="106">
                  <c:v>6.6838046272493576</c:v>
                </c:pt>
                <c:pt idx="107">
                  <c:v>4.1866028708133971</c:v>
                </c:pt>
                <c:pt idx="108">
                  <c:v>3.6468330134357005</c:v>
                </c:pt>
                <c:pt idx="109">
                  <c:v>3.1380753138075312</c:v>
                </c:pt>
                <c:pt idx="110">
                  <c:v>3.5470668485675305</c:v>
                </c:pt>
                <c:pt idx="111">
                  <c:v>3.3092037228541882</c:v>
                </c:pt>
                <c:pt idx="112">
                  <c:v>6.5126050420168067</c:v>
                </c:pt>
                <c:pt idx="113">
                  <c:v>1.800327332242226</c:v>
                </c:pt>
                <c:pt idx="114">
                  <c:v>6.4516129032258061</c:v>
                </c:pt>
                <c:pt idx="115">
                  <c:v>3.75</c:v>
                </c:pt>
                <c:pt idx="116">
                  <c:v>5.0306748466257671</c:v>
                </c:pt>
                <c:pt idx="117">
                  <c:v>5.2770448548812663</c:v>
                </c:pt>
                <c:pt idx="118">
                  <c:v>0</c:v>
                </c:pt>
                <c:pt idx="119">
                  <c:v>8.4409136047666333</c:v>
                </c:pt>
                <c:pt idx="120">
                  <c:v>4.834254143646409</c:v>
                </c:pt>
                <c:pt idx="121">
                  <c:v>0</c:v>
                </c:pt>
                <c:pt idx="122">
                  <c:v>4.4776119402985071</c:v>
                </c:pt>
                <c:pt idx="123">
                  <c:v>6.1111111111111107</c:v>
                </c:pt>
                <c:pt idx="124">
                  <c:v>9.3711467324291</c:v>
                </c:pt>
                <c:pt idx="125">
                  <c:v>5.7827926657263751</c:v>
                </c:pt>
                <c:pt idx="126">
                  <c:v>3.8694074969770256</c:v>
                </c:pt>
                <c:pt idx="127">
                  <c:v>6.6481994459833791</c:v>
                </c:pt>
                <c:pt idx="128">
                  <c:v>6.882022471910112</c:v>
                </c:pt>
                <c:pt idx="129">
                  <c:v>5.0185873605947959</c:v>
                </c:pt>
                <c:pt idx="130">
                  <c:v>3.7735849056603774</c:v>
                </c:pt>
                <c:pt idx="131">
                  <c:v>6.2111801242236027</c:v>
                </c:pt>
                <c:pt idx="132">
                  <c:v>3.3797216699801194</c:v>
                </c:pt>
                <c:pt idx="133">
                  <c:v>4.2857142857142856</c:v>
                </c:pt>
                <c:pt idx="134">
                  <c:v>3.5849056603773586</c:v>
                </c:pt>
                <c:pt idx="135">
                  <c:v>3.8857142857142857</c:v>
                </c:pt>
                <c:pt idx="136">
                  <c:v>3.1468531468531467</c:v>
                </c:pt>
                <c:pt idx="137">
                  <c:v>2.3908523908523907</c:v>
                </c:pt>
                <c:pt idx="138">
                  <c:v>8.0845771144278604</c:v>
                </c:pt>
                <c:pt idx="139">
                  <c:v>4.5515394912985272</c:v>
                </c:pt>
                <c:pt idx="140">
                  <c:v>13.264495631453535</c:v>
                </c:pt>
                <c:pt idx="141">
                  <c:v>7.4235807860262009</c:v>
                </c:pt>
                <c:pt idx="142">
                  <c:v>4.1564792176039118</c:v>
                </c:pt>
                <c:pt idx="143">
                  <c:v>5.3524804177545695</c:v>
                </c:pt>
                <c:pt idx="144">
                  <c:v>5.1813471502590671</c:v>
                </c:pt>
                <c:pt idx="145">
                  <c:v>4.4776119402985071</c:v>
                </c:pt>
                <c:pt idx="146">
                  <c:v>37.950138504155127</c:v>
                </c:pt>
                <c:pt idx="147">
                  <c:v>3.66412213740458</c:v>
                </c:pt>
                <c:pt idx="148">
                  <c:v>3.9458850056369785</c:v>
                </c:pt>
                <c:pt idx="149">
                  <c:v>4.0404040404040407</c:v>
                </c:pt>
                <c:pt idx="150">
                  <c:v>3.1039136302294197</c:v>
                </c:pt>
                <c:pt idx="151">
                  <c:v>3.6608863198458574</c:v>
                </c:pt>
                <c:pt idx="152">
                  <c:v>2.8708133971291865</c:v>
                </c:pt>
                <c:pt idx="153">
                  <c:v>2.9644268774703559</c:v>
                </c:pt>
                <c:pt idx="154">
                  <c:v>3.5007610350076104</c:v>
                </c:pt>
                <c:pt idx="155">
                  <c:v>4.4709388971684056</c:v>
                </c:pt>
                <c:pt idx="156">
                  <c:v>36.382113821138212</c:v>
                </c:pt>
                <c:pt idx="157">
                  <c:v>3</c:v>
                </c:pt>
                <c:pt idx="158">
                  <c:v>6.0367454068241466</c:v>
                </c:pt>
                <c:pt idx="159">
                  <c:v>4.900181488203267</c:v>
                </c:pt>
                <c:pt idx="160">
                  <c:v>2.0661157024793386</c:v>
                </c:pt>
                <c:pt idx="161">
                  <c:v>2.9216467463479416</c:v>
                </c:pt>
                <c:pt idx="162">
                  <c:v>1.7216642754662841</c:v>
                </c:pt>
                <c:pt idx="163">
                  <c:v>2.073365231259968</c:v>
                </c:pt>
                <c:pt idx="164">
                  <c:v>2.7863777089783284</c:v>
                </c:pt>
                <c:pt idx="165">
                  <c:v>3.9938556067588324</c:v>
                </c:pt>
                <c:pt idx="166">
                  <c:v>6.3008130081300813</c:v>
                </c:pt>
                <c:pt idx="167">
                  <c:v>3.0088495575221237</c:v>
                </c:pt>
                <c:pt idx="168">
                  <c:v>7.2404371584699456</c:v>
                </c:pt>
                <c:pt idx="169">
                  <c:v>5.0420168067226889</c:v>
                </c:pt>
                <c:pt idx="170">
                  <c:v>5.4151624548736459</c:v>
                </c:pt>
                <c:pt idx="171">
                  <c:v>4.4198895027624312</c:v>
                </c:pt>
                <c:pt idx="172">
                  <c:v>2.4258760107816713</c:v>
                </c:pt>
                <c:pt idx="173">
                  <c:v>7.7519379844961236</c:v>
                </c:pt>
                <c:pt idx="174">
                  <c:v>3.3505154639175259</c:v>
                </c:pt>
                <c:pt idx="175">
                  <c:v>5.9336823734729496</c:v>
                </c:pt>
                <c:pt idx="176">
                  <c:v>2.5974025974025974</c:v>
                </c:pt>
                <c:pt idx="177">
                  <c:v>0.65832784726793947</c:v>
                </c:pt>
                <c:pt idx="178">
                  <c:v>2.6362038664323375</c:v>
                </c:pt>
                <c:pt idx="179">
                  <c:v>3.2549728752260396</c:v>
                </c:pt>
                <c:pt idx="180">
                  <c:v>2.9871977240398291</c:v>
                </c:pt>
                <c:pt idx="181">
                  <c:v>2.8571428571428572</c:v>
                </c:pt>
              </c:numCache>
            </c:numRef>
          </c:yVal>
          <c:bubbleSize>
            <c:numRef>
              <c:f>'Дума одномандатный'!$J$2:$J$183</c:f>
              <c:numCache>
                <c:formatCode>General</c:formatCode>
                <c:ptCount val="182"/>
                <c:pt idx="0">
                  <c:v>2451</c:v>
                </c:pt>
                <c:pt idx="1">
                  <c:v>1779</c:v>
                </c:pt>
                <c:pt idx="2">
                  <c:v>1942</c:v>
                </c:pt>
                <c:pt idx="3">
                  <c:v>2100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377</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2224</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981</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176</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2210</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2924</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0-8E4C-44BC-8654-729D3219AB2C}"/>
            </c:ext>
          </c:extLst>
        </c:ser>
        <c:ser>
          <c:idx val="1"/>
          <c:order val="11"/>
          <c:tx>
            <c:strRef>
              <c:f>'Дума одномандатный'!$U$1</c:f>
              <c:strCache>
                <c:ptCount val="1"/>
                <c:pt idx="0">
                  <c:v>Надомка</c:v>
                </c:pt>
              </c:strCache>
            </c:strRef>
          </c:tx>
          <c:spPr>
            <a:noFill/>
            <a:ln w="6350">
              <a:solidFill>
                <a:srgbClr val="000000"/>
              </a:solidFill>
              <a:prstDash val="sysDot"/>
            </a:ln>
          </c:spPr>
          <c:invertIfNegative val="0"/>
          <c:xVal>
            <c:numRef>
              <c:f>'Дума одномандатный'!$O$2:$O$183</c:f>
              <c:numCache>
                <c:formatCode>0.0</c:formatCode>
                <c:ptCount val="182"/>
                <c:pt idx="0">
                  <c:v>63.484292125662996</c:v>
                </c:pt>
                <c:pt idx="1">
                  <c:v>54.187745924676783</c:v>
                </c:pt>
                <c:pt idx="2">
                  <c:v>55.818743563336767</c:v>
                </c:pt>
                <c:pt idx="3">
                  <c:v>56</c:v>
                </c:pt>
                <c:pt idx="4">
                  <c:v>49.812130971551262</c:v>
                </c:pt>
                <c:pt idx="5">
                  <c:v>51.432958034800407</c:v>
                </c:pt>
                <c:pt idx="6">
                  <c:v>56.158134820070956</c:v>
                </c:pt>
                <c:pt idx="7">
                  <c:v>71.452328159645234</c:v>
                </c:pt>
                <c:pt idx="8">
                  <c:v>73.707753479125245</c:v>
                </c:pt>
                <c:pt idx="9">
                  <c:v>37.016574585635361</c:v>
                </c:pt>
                <c:pt idx="10">
                  <c:v>25.407309555262</c:v>
                </c:pt>
                <c:pt idx="11">
                  <c:v>72.562358276643991</c:v>
                </c:pt>
                <c:pt idx="12">
                  <c:v>52.684258416742495</c:v>
                </c:pt>
                <c:pt idx="13">
                  <c:v>35.041666666666664</c:v>
                </c:pt>
                <c:pt idx="14">
                  <c:v>48.151191454396056</c:v>
                </c:pt>
                <c:pt idx="15">
                  <c:v>29.507364144235652</c:v>
                </c:pt>
                <c:pt idx="16">
                  <c:v>44.562334217506631</c:v>
                </c:pt>
                <c:pt idx="17">
                  <c:v>32.345876701361092</c:v>
                </c:pt>
                <c:pt idx="18">
                  <c:v>48.951048951048953</c:v>
                </c:pt>
                <c:pt idx="19">
                  <c:v>36.920222634508349</c:v>
                </c:pt>
                <c:pt idx="20">
                  <c:v>26.006528835690968</c:v>
                </c:pt>
                <c:pt idx="21">
                  <c:v>47.85954785954786</c:v>
                </c:pt>
                <c:pt idx="22">
                  <c:v>33.137697516930025</c:v>
                </c:pt>
                <c:pt idx="23">
                  <c:v>37.266187050359711</c:v>
                </c:pt>
                <c:pt idx="24">
                  <c:v>31.379462318201853</c:v>
                </c:pt>
                <c:pt idx="25">
                  <c:v>38.636363636363633</c:v>
                </c:pt>
                <c:pt idx="26">
                  <c:v>47.569444444444443</c:v>
                </c:pt>
                <c:pt idx="27">
                  <c:v>43.30472103004292</c:v>
                </c:pt>
                <c:pt idx="28">
                  <c:v>48.960216998191683</c:v>
                </c:pt>
                <c:pt idx="29">
                  <c:v>34.414106939704212</c:v>
                </c:pt>
                <c:pt idx="30">
                  <c:v>41.391614629794823</c:v>
                </c:pt>
                <c:pt idx="31">
                  <c:v>30.035971223021583</c:v>
                </c:pt>
                <c:pt idx="32">
                  <c:v>37.808641975308639</c:v>
                </c:pt>
                <c:pt idx="33">
                  <c:v>95.27145359019265</c:v>
                </c:pt>
                <c:pt idx="34">
                  <c:v>43.419689119170982</c:v>
                </c:pt>
                <c:pt idx="35">
                  <c:v>59.961904761904762</c:v>
                </c:pt>
                <c:pt idx="36">
                  <c:v>80.892103676913806</c:v>
                </c:pt>
                <c:pt idx="37">
                  <c:v>37.891440501043839</c:v>
                </c:pt>
                <c:pt idx="38">
                  <c:v>40.490081680280049</c:v>
                </c:pt>
                <c:pt idx="39">
                  <c:v>40.014164305949009</c:v>
                </c:pt>
                <c:pt idx="40">
                  <c:v>35.019646365422396</c:v>
                </c:pt>
                <c:pt idx="41">
                  <c:v>30.76923076923077</c:v>
                </c:pt>
                <c:pt idx="42">
                  <c:v>34.175334323922733</c:v>
                </c:pt>
                <c:pt idx="43">
                  <c:v>34.108527131782942</c:v>
                </c:pt>
                <c:pt idx="44">
                  <c:v>66.542133665421332</c:v>
                </c:pt>
                <c:pt idx="45">
                  <c:v>77.573904179408771</c:v>
                </c:pt>
                <c:pt idx="46">
                  <c:v>64.759725400457668</c:v>
                </c:pt>
                <c:pt idx="47">
                  <c:v>40.934579439252339</c:v>
                </c:pt>
                <c:pt idx="48">
                  <c:v>46.253229974160206</c:v>
                </c:pt>
                <c:pt idx="49">
                  <c:v>54.984354045596781</c:v>
                </c:pt>
                <c:pt idx="50">
                  <c:v>40.935672514619881</c:v>
                </c:pt>
                <c:pt idx="51">
                  <c:v>37.672465506898618</c:v>
                </c:pt>
                <c:pt idx="52">
                  <c:v>42.771804062126641</c:v>
                </c:pt>
                <c:pt idx="53">
                  <c:v>78.285714285714292</c:v>
                </c:pt>
                <c:pt idx="54">
                  <c:v>33.782267115600447</c:v>
                </c:pt>
                <c:pt idx="55">
                  <c:v>33.562113932738505</c:v>
                </c:pt>
                <c:pt idx="56">
                  <c:v>43.99198931909212</c:v>
                </c:pt>
                <c:pt idx="57">
                  <c:v>35.322822822822822</c:v>
                </c:pt>
                <c:pt idx="58">
                  <c:v>28.550983899821109</c:v>
                </c:pt>
                <c:pt idx="59">
                  <c:v>40.453323088743758</c:v>
                </c:pt>
                <c:pt idx="60">
                  <c:v>38.582677165354333</c:v>
                </c:pt>
                <c:pt idx="61">
                  <c:v>44.122298365840798</c:v>
                </c:pt>
                <c:pt idx="62">
                  <c:v>26.386138613861387</c:v>
                </c:pt>
                <c:pt idx="63">
                  <c:v>26.959247648902821</c:v>
                </c:pt>
                <c:pt idx="64">
                  <c:v>29.1156462585034</c:v>
                </c:pt>
                <c:pt idx="65">
                  <c:v>57.634902411021812</c:v>
                </c:pt>
                <c:pt idx="66">
                  <c:v>64.978902953586498</c:v>
                </c:pt>
                <c:pt idx="67">
                  <c:v>51.035502958579883</c:v>
                </c:pt>
                <c:pt idx="68">
                  <c:v>46.972972972972975</c:v>
                </c:pt>
                <c:pt idx="69">
                  <c:v>52.648138437336129</c:v>
                </c:pt>
                <c:pt idx="70">
                  <c:v>36.752827140549272</c:v>
                </c:pt>
                <c:pt idx="71">
                  <c:v>41.978609625668447</c:v>
                </c:pt>
                <c:pt idx="72">
                  <c:v>40.397350993377486</c:v>
                </c:pt>
                <c:pt idx="73">
                  <c:v>22.40990990990991</c:v>
                </c:pt>
                <c:pt idx="74">
                  <c:v>34.809160305343511</c:v>
                </c:pt>
                <c:pt idx="75">
                  <c:v>51.278195488721806</c:v>
                </c:pt>
                <c:pt idx="76">
                  <c:v>54.563297350343476</c:v>
                </c:pt>
                <c:pt idx="77">
                  <c:v>60.084033613445378</c:v>
                </c:pt>
                <c:pt idx="78">
                  <c:v>50.821827744904667</c:v>
                </c:pt>
                <c:pt idx="79">
                  <c:v>40.422535211267608</c:v>
                </c:pt>
                <c:pt idx="80">
                  <c:v>51.540983606557376</c:v>
                </c:pt>
                <c:pt idx="81">
                  <c:v>40.625</c:v>
                </c:pt>
                <c:pt idx="82">
                  <c:v>47.904811174340402</c:v>
                </c:pt>
                <c:pt idx="83">
                  <c:v>43.352883675464319</c:v>
                </c:pt>
                <c:pt idx="84">
                  <c:v>40.621336459554513</c:v>
                </c:pt>
                <c:pt idx="85">
                  <c:v>39.648093841642229</c:v>
                </c:pt>
                <c:pt idx="86">
                  <c:v>44.669718770438195</c:v>
                </c:pt>
                <c:pt idx="87">
                  <c:v>35.388888888888886</c:v>
                </c:pt>
                <c:pt idx="88">
                  <c:v>35.514018691588788</c:v>
                </c:pt>
                <c:pt idx="89">
                  <c:v>44.083291010665313</c:v>
                </c:pt>
                <c:pt idx="90">
                  <c:v>49.188906331763476</c:v>
                </c:pt>
                <c:pt idx="91">
                  <c:v>51.062537947783852</c:v>
                </c:pt>
                <c:pt idx="92">
                  <c:v>54.863221884498479</c:v>
                </c:pt>
                <c:pt idx="93">
                  <c:v>63.973344439816742</c:v>
                </c:pt>
                <c:pt idx="94">
                  <c:v>66.090611863615138</c:v>
                </c:pt>
                <c:pt idx="95">
                  <c:v>64.959349593495929</c:v>
                </c:pt>
                <c:pt idx="96">
                  <c:v>53.224043715846996</c:v>
                </c:pt>
                <c:pt idx="97">
                  <c:v>47.465437788018434</c:v>
                </c:pt>
                <c:pt idx="98">
                  <c:v>52.964169381107489</c:v>
                </c:pt>
                <c:pt idx="99">
                  <c:v>31.266540642722116</c:v>
                </c:pt>
                <c:pt idx="100">
                  <c:v>36.172295643661279</c:v>
                </c:pt>
                <c:pt idx="101">
                  <c:v>55.275443510737631</c:v>
                </c:pt>
                <c:pt idx="102">
                  <c:v>56.983805668016196</c:v>
                </c:pt>
                <c:pt idx="103">
                  <c:v>100</c:v>
                </c:pt>
                <c:pt idx="104">
                  <c:v>90.865384615384613</c:v>
                </c:pt>
                <c:pt idx="105">
                  <c:v>45.037292025243829</c:v>
                </c:pt>
                <c:pt idx="106">
                  <c:v>34.424778761061944</c:v>
                </c:pt>
                <c:pt idx="107">
                  <c:v>36.03448275862069</c:v>
                </c:pt>
                <c:pt idx="108">
                  <c:v>40.813135261923378</c:v>
                </c:pt>
                <c:pt idx="109">
                  <c:v>37.786561264822133</c:v>
                </c:pt>
                <c:pt idx="110">
                  <c:v>42.10526315789474</c:v>
                </c:pt>
                <c:pt idx="111">
                  <c:v>39.198131568703779</c:v>
                </c:pt>
                <c:pt idx="112">
                  <c:v>39.279869067103107</c:v>
                </c:pt>
                <c:pt idx="113">
                  <c:v>42.108890420399725</c:v>
                </c:pt>
                <c:pt idx="114">
                  <c:v>38.65336658354115</c:v>
                </c:pt>
                <c:pt idx="115">
                  <c:v>35.413899955732624</c:v>
                </c:pt>
                <c:pt idx="116">
                  <c:v>44.002151694459386</c:v>
                </c:pt>
                <c:pt idx="117">
                  <c:v>36.372360844529751</c:v>
                </c:pt>
                <c:pt idx="118">
                  <c:v>0</c:v>
                </c:pt>
                <c:pt idx="119">
                  <c:v>41.481481481481481</c:v>
                </c:pt>
                <c:pt idx="120">
                  <c:v>32.568600989653618</c:v>
                </c:pt>
                <c:pt idx="121">
                  <c:v>51.320918146383718</c:v>
                </c:pt>
                <c:pt idx="122">
                  <c:v>33.550325488232346</c:v>
                </c:pt>
                <c:pt idx="123">
                  <c:v>35.837864557587743</c:v>
                </c:pt>
                <c:pt idx="124">
                  <c:v>43.155339805825243</c:v>
                </c:pt>
                <c:pt idx="125">
                  <c:v>40.560640732265448</c:v>
                </c:pt>
                <c:pt idx="126">
                  <c:v>36.066288704753596</c:v>
                </c:pt>
                <c:pt idx="127">
                  <c:v>33.364140480591495</c:v>
                </c:pt>
                <c:pt idx="128">
                  <c:v>35.832913940613992</c:v>
                </c:pt>
                <c:pt idx="129">
                  <c:v>41.194486983154668</c:v>
                </c:pt>
                <c:pt idx="130">
                  <c:v>70.199587061252586</c:v>
                </c:pt>
                <c:pt idx="131">
                  <c:v>31.971465629053178</c:v>
                </c:pt>
                <c:pt idx="132">
                  <c:v>34.171195652173914</c:v>
                </c:pt>
                <c:pt idx="133">
                  <c:v>33.630748112560056</c:v>
                </c:pt>
                <c:pt idx="134">
                  <c:v>28.648648648648649</c:v>
                </c:pt>
                <c:pt idx="135">
                  <c:v>41.429924242424242</c:v>
                </c:pt>
                <c:pt idx="136">
                  <c:v>55.265700483091784</c:v>
                </c:pt>
                <c:pt idx="137">
                  <c:v>50.684210526315788</c:v>
                </c:pt>
                <c:pt idx="138">
                  <c:v>36.419213973799124</c:v>
                </c:pt>
                <c:pt idx="139">
                  <c:v>34.091943559399184</c:v>
                </c:pt>
                <c:pt idx="140">
                  <c:v>69.944444444444443</c:v>
                </c:pt>
                <c:pt idx="141">
                  <c:v>31.717451523545705</c:v>
                </c:pt>
                <c:pt idx="142">
                  <c:v>40.26290165530672</c:v>
                </c:pt>
                <c:pt idx="143">
                  <c:v>36.320531057373159</c:v>
                </c:pt>
                <c:pt idx="144">
                  <c:v>30.732484076433121</c:v>
                </c:pt>
                <c:pt idx="145">
                  <c:v>36.871069182389938</c:v>
                </c:pt>
                <c:pt idx="146">
                  <c:v>35.288367546432063</c:v>
                </c:pt>
                <c:pt idx="147">
                  <c:v>34.275248560962844</c:v>
                </c:pt>
                <c:pt idx="148">
                  <c:v>38.125802310654684</c:v>
                </c:pt>
                <c:pt idx="149">
                  <c:v>40.316742081447963</c:v>
                </c:pt>
                <c:pt idx="150">
                  <c:v>28.046934140802421</c:v>
                </c:pt>
                <c:pt idx="151">
                  <c:v>28.618602091359385</c:v>
                </c:pt>
                <c:pt idx="152">
                  <c:v>32.336255801959773</c:v>
                </c:pt>
                <c:pt idx="153">
                  <c:v>24.444444444444443</c:v>
                </c:pt>
                <c:pt idx="154">
                  <c:v>28.752735229759299</c:v>
                </c:pt>
                <c:pt idx="155">
                  <c:v>26.303410427283417</c:v>
                </c:pt>
                <c:pt idx="156">
                  <c:v>32.887700534759361</c:v>
                </c:pt>
                <c:pt idx="157">
                  <c:v>53.324468085106382</c:v>
                </c:pt>
                <c:pt idx="158">
                  <c:v>50.189155107187894</c:v>
                </c:pt>
                <c:pt idx="159">
                  <c:v>32.23570190641248</c:v>
                </c:pt>
                <c:pt idx="160">
                  <c:v>44.567219152854513</c:v>
                </c:pt>
                <c:pt idx="161">
                  <c:v>26.778385772913818</c:v>
                </c:pt>
                <c:pt idx="162">
                  <c:v>26.083707025411062</c:v>
                </c:pt>
                <c:pt idx="163">
                  <c:v>26.590330788804071</c:v>
                </c:pt>
                <c:pt idx="164">
                  <c:v>29.204339963833636</c:v>
                </c:pt>
                <c:pt idx="165">
                  <c:v>26.91194708557255</c:v>
                </c:pt>
                <c:pt idx="166">
                  <c:v>22.96983758700696</c:v>
                </c:pt>
                <c:pt idx="167">
                  <c:v>24.077999152183128</c:v>
                </c:pt>
                <c:pt idx="168">
                  <c:v>24.746450304259636</c:v>
                </c:pt>
                <c:pt idx="169">
                  <c:v>16.688918558077436</c:v>
                </c:pt>
                <c:pt idx="170">
                  <c:v>20.803604956815622</c:v>
                </c:pt>
                <c:pt idx="171">
                  <c:v>42.521534847298355</c:v>
                </c:pt>
                <c:pt idx="172">
                  <c:v>34.256694367497694</c:v>
                </c:pt>
                <c:pt idx="173">
                  <c:v>31.412337662337663</c:v>
                </c:pt>
                <c:pt idx="174">
                  <c:v>37.596899224806201</c:v>
                </c:pt>
                <c:pt idx="175">
                  <c:v>37.201166180758015</c:v>
                </c:pt>
                <c:pt idx="176">
                  <c:v>49.561146869514339</c:v>
                </c:pt>
                <c:pt idx="177">
                  <c:v>62.228594838181074</c:v>
                </c:pt>
                <c:pt idx="178">
                  <c:v>31.506090808416388</c:v>
                </c:pt>
                <c:pt idx="179">
                  <c:v>42.149390243902438</c:v>
                </c:pt>
                <c:pt idx="180">
                  <c:v>42.400482509047045</c:v>
                </c:pt>
                <c:pt idx="181">
                  <c:v>26.266416510318951</c:v>
                </c:pt>
              </c:numCache>
            </c:numRef>
          </c:xVal>
          <c:yVal>
            <c:numRef>
              <c:f>'Дума одномандатный'!$U$2:$U$183</c:f>
              <c:numCache>
                <c:formatCode>0.0</c:formatCode>
                <c:ptCount val="182"/>
                <c:pt idx="0">
                  <c:v>1.2210796915167095</c:v>
                </c:pt>
                <c:pt idx="1">
                  <c:v>6.1394380853277832</c:v>
                </c:pt>
                <c:pt idx="2">
                  <c:v>6.9316081330868764</c:v>
                </c:pt>
                <c:pt idx="3">
                  <c:v>1.8771331058020477</c:v>
                </c:pt>
                <c:pt idx="4">
                  <c:v>10.378378378378379</c:v>
                </c:pt>
                <c:pt idx="5">
                  <c:v>10.34136546184739</c:v>
                </c:pt>
                <c:pt idx="6">
                  <c:v>12.906137184115524</c:v>
                </c:pt>
                <c:pt idx="7">
                  <c:v>4.1438623924941362</c:v>
                </c:pt>
                <c:pt idx="8">
                  <c:v>9.3728927848954822</c:v>
                </c:pt>
                <c:pt idx="9">
                  <c:v>20.438799076212472</c:v>
                </c:pt>
                <c:pt idx="10">
                  <c:v>1.9064124783362217</c:v>
                </c:pt>
                <c:pt idx="11">
                  <c:v>19.53125</c:v>
                </c:pt>
                <c:pt idx="12">
                  <c:v>43.177892918825563</c:v>
                </c:pt>
                <c:pt idx="13">
                  <c:v>13.793103448275861</c:v>
                </c:pt>
                <c:pt idx="14">
                  <c:v>29.69283276450512</c:v>
                </c:pt>
                <c:pt idx="15">
                  <c:v>4.6471600688468158</c:v>
                </c:pt>
                <c:pt idx="16">
                  <c:v>29.166666666666668</c:v>
                </c:pt>
                <c:pt idx="17">
                  <c:v>1.5075376884422111</c:v>
                </c:pt>
                <c:pt idx="18">
                  <c:v>25.714285714285715</c:v>
                </c:pt>
                <c:pt idx="19">
                  <c:v>22.814070351758794</c:v>
                </c:pt>
                <c:pt idx="20">
                  <c:v>0.41928721174004191</c:v>
                </c:pt>
                <c:pt idx="21">
                  <c:v>2.1105527638190953</c:v>
                </c:pt>
                <c:pt idx="22">
                  <c:v>4.6321525885558579</c:v>
                </c:pt>
                <c:pt idx="23">
                  <c:v>4.1184041184041185</c:v>
                </c:pt>
                <c:pt idx="24">
                  <c:v>5.9071729957805905</c:v>
                </c:pt>
                <c:pt idx="25">
                  <c:v>9.9264705882352935</c:v>
                </c:pt>
                <c:pt idx="26">
                  <c:v>2.3983315954118876</c:v>
                </c:pt>
                <c:pt idx="27">
                  <c:v>0.90180360721442887</c:v>
                </c:pt>
                <c:pt idx="28">
                  <c:v>1.8552875695732838</c:v>
                </c:pt>
                <c:pt idx="29">
                  <c:v>2.1487603305785123</c:v>
                </c:pt>
                <c:pt idx="30">
                  <c:v>7.3275862068965516</c:v>
                </c:pt>
                <c:pt idx="31">
                  <c:v>4.0419161676646711</c:v>
                </c:pt>
                <c:pt idx="32">
                  <c:v>32.924335378323107</c:v>
                </c:pt>
                <c:pt idx="33">
                  <c:v>48.066298342541437</c:v>
                </c:pt>
                <c:pt idx="34">
                  <c:v>33.651551312649161</c:v>
                </c:pt>
                <c:pt idx="35">
                  <c:v>42.249047013977126</c:v>
                </c:pt>
                <c:pt idx="36">
                  <c:v>19.001490312965721</c:v>
                </c:pt>
                <c:pt idx="37">
                  <c:v>27.134986225895318</c:v>
                </c:pt>
                <c:pt idx="38">
                  <c:v>11.527377521613833</c:v>
                </c:pt>
                <c:pt idx="39">
                  <c:v>25.886524822695037</c:v>
                </c:pt>
                <c:pt idx="40">
                  <c:v>24.450951683748169</c:v>
                </c:pt>
                <c:pt idx="41">
                  <c:v>4.0697674418604652</c:v>
                </c:pt>
                <c:pt idx="42">
                  <c:v>2.1739130434782608</c:v>
                </c:pt>
                <c:pt idx="43">
                  <c:v>1.8018018018018018</c:v>
                </c:pt>
                <c:pt idx="44">
                  <c:v>0</c:v>
                </c:pt>
                <c:pt idx="45">
                  <c:v>0</c:v>
                </c:pt>
                <c:pt idx="46">
                  <c:v>7.0671378091872787</c:v>
                </c:pt>
                <c:pt idx="47">
                  <c:v>0.76103500761035003</c:v>
                </c:pt>
                <c:pt idx="48">
                  <c:v>0.55865921787709494</c:v>
                </c:pt>
                <c:pt idx="49">
                  <c:v>0.32733224222585927</c:v>
                </c:pt>
                <c:pt idx="50">
                  <c:v>16.753246753246753</c:v>
                </c:pt>
                <c:pt idx="51">
                  <c:v>0.79617834394904463</c:v>
                </c:pt>
                <c:pt idx="52">
                  <c:v>0.6983240223463687</c:v>
                </c:pt>
                <c:pt idx="53">
                  <c:v>65.206812652068123</c:v>
                </c:pt>
                <c:pt idx="54">
                  <c:v>6.9767441860465116</c:v>
                </c:pt>
                <c:pt idx="55">
                  <c:v>1.0224948875255624</c:v>
                </c:pt>
                <c:pt idx="56">
                  <c:v>18.512898330804248</c:v>
                </c:pt>
                <c:pt idx="57">
                  <c:v>4.8884165781083952</c:v>
                </c:pt>
                <c:pt idx="58">
                  <c:v>11.779448621553884</c:v>
                </c:pt>
                <c:pt idx="59">
                  <c:v>18.233618233618234</c:v>
                </c:pt>
                <c:pt idx="60">
                  <c:v>0.97879282218597063</c:v>
                </c:pt>
                <c:pt idx="61">
                  <c:v>6.2126642771804059</c:v>
                </c:pt>
                <c:pt idx="62">
                  <c:v>1.3133208255159474</c:v>
                </c:pt>
                <c:pt idx="63">
                  <c:v>19.186046511627907</c:v>
                </c:pt>
                <c:pt idx="64">
                  <c:v>5.8411214953271031</c:v>
                </c:pt>
                <c:pt idx="65">
                  <c:v>12.840984697272122</c:v>
                </c:pt>
                <c:pt idx="66">
                  <c:v>14.935064935064934</c:v>
                </c:pt>
                <c:pt idx="67">
                  <c:v>40.869565217391305</c:v>
                </c:pt>
                <c:pt idx="68">
                  <c:v>17.261219792865361</c:v>
                </c:pt>
                <c:pt idx="69">
                  <c:v>11.752988047808765</c:v>
                </c:pt>
                <c:pt idx="70">
                  <c:v>5.9340659340659343</c:v>
                </c:pt>
                <c:pt idx="71">
                  <c:v>7.0212765957446805</c:v>
                </c:pt>
                <c:pt idx="72">
                  <c:v>8.3333333333333339</c:v>
                </c:pt>
                <c:pt idx="73">
                  <c:v>8.0402010050251249</c:v>
                </c:pt>
                <c:pt idx="74">
                  <c:v>9.251101321585903</c:v>
                </c:pt>
                <c:pt idx="75">
                  <c:v>4.3988269794721404</c:v>
                </c:pt>
                <c:pt idx="76">
                  <c:v>24.640287769784173</c:v>
                </c:pt>
                <c:pt idx="77">
                  <c:v>38.511326860841422</c:v>
                </c:pt>
                <c:pt idx="78">
                  <c:v>38.551099611901684</c:v>
                </c:pt>
                <c:pt idx="79">
                  <c:v>33.797909407665507</c:v>
                </c:pt>
                <c:pt idx="80">
                  <c:v>12.086513994910941</c:v>
                </c:pt>
                <c:pt idx="81">
                  <c:v>2.508361204013378</c:v>
                </c:pt>
                <c:pt idx="82">
                  <c:v>8.8840736728060676</c:v>
                </c:pt>
                <c:pt idx="83">
                  <c:v>12.739571589627959</c:v>
                </c:pt>
                <c:pt idx="84">
                  <c:v>18.930635838150287</c:v>
                </c:pt>
                <c:pt idx="85">
                  <c:v>9.0236686390532537</c:v>
                </c:pt>
                <c:pt idx="86">
                  <c:v>16.691068814055637</c:v>
                </c:pt>
                <c:pt idx="87">
                  <c:v>8.4772370486656197</c:v>
                </c:pt>
                <c:pt idx="88">
                  <c:v>7.0175438596491224</c:v>
                </c:pt>
                <c:pt idx="89">
                  <c:v>23.387096774193548</c:v>
                </c:pt>
                <c:pt idx="90">
                  <c:v>18.829787234042552</c:v>
                </c:pt>
                <c:pt idx="91">
                  <c:v>26.040428061831154</c:v>
                </c:pt>
                <c:pt idx="92">
                  <c:v>38.365650969529085</c:v>
                </c:pt>
                <c:pt idx="93">
                  <c:v>5.078125</c:v>
                </c:pt>
                <c:pt idx="94">
                  <c:v>2.264685067232838</c:v>
                </c:pt>
                <c:pt idx="95">
                  <c:v>9.7527472527472536</c:v>
                </c:pt>
                <c:pt idx="96">
                  <c:v>6.3655030800821359</c:v>
                </c:pt>
                <c:pt idx="97">
                  <c:v>37.864077669902912</c:v>
                </c:pt>
                <c:pt idx="98">
                  <c:v>45.264452644526443</c:v>
                </c:pt>
                <c:pt idx="99">
                  <c:v>1.5719467956469166</c:v>
                </c:pt>
                <c:pt idx="100">
                  <c:v>2.029769959404601</c:v>
                </c:pt>
                <c:pt idx="101">
                  <c:v>28.800675675675677</c:v>
                </c:pt>
                <c:pt idx="102">
                  <c:v>20.499108734402853</c:v>
                </c:pt>
                <c:pt idx="103">
                  <c:v>71.022727272727266</c:v>
                </c:pt>
                <c:pt idx="104">
                  <c:v>0</c:v>
                </c:pt>
                <c:pt idx="105">
                  <c:v>16.305732484076433</c:v>
                </c:pt>
                <c:pt idx="106">
                  <c:v>1.5424164524421593</c:v>
                </c:pt>
                <c:pt idx="107">
                  <c:v>5.741626794258373</c:v>
                </c:pt>
                <c:pt idx="108">
                  <c:v>10.36468330134357</c:v>
                </c:pt>
                <c:pt idx="109">
                  <c:v>1.0460251046025104</c:v>
                </c:pt>
                <c:pt idx="110">
                  <c:v>4.6384720327421558</c:v>
                </c:pt>
                <c:pt idx="111">
                  <c:v>4.7569803516028957</c:v>
                </c:pt>
                <c:pt idx="112">
                  <c:v>3.3613445378151261</c:v>
                </c:pt>
                <c:pt idx="113">
                  <c:v>9.8199672667757767</c:v>
                </c:pt>
                <c:pt idx="114">
                  <c:v>12.043010752688172</c:v>
                </c:pt>
                <c:pt idx="115">
                  <c:v>2.125</c:v>
                </c:pt>
                <c:pt idx="116">
                  <c:v>1.2269938650306749</c:v>
                </c:pt>
                <c:pt idx="117">
                  <c:v>0.92348284960422167</c:v>
                </c:pt>
                <c:pt idx="118">
                  <c:v>0</c:v>
                </c:pt>
                <c:pt idx="119">
                  <c:v>14.101290963257199</c:v>
                </c:pt>
                <c:pt idx="120">
                  <c:v>2.0718232044198897</c:v>
                </c:pt>
                <c:pt idx="121">
                  <c:v>11.308016877637131</c:v>
                </c:pt>
                <c:pt idx="122">
                  <c:v>4.6268656716417906</c:v>
                </c:pt>
                <c:pt idx="123">
                  <c:v>1.25</c:v>
                </c:pt>
                <c:pt idx="124">
                  <c:v>9.6177558569667081</c:v>
                </c:pt>
                <c:pt idx="125">
                  <c:v>10.578279266572638</c:v>
                </c:pt>
                <c:pt idx="126">
                  <c:v>3.9903264812575574</c:v>
                </c:pt>
                <c:pt idx="127">
                  <c:v>0.554016620498615</c:v>
                </c:pt>
                <c:pt idx="128">
                  <c:v>0.5617977528089888</c:v>
                </c:pt>
                <c:pt idx="129">
                  <c:v>0.92936802973977695</c:v>
                </c:pt>
                <c:pt idx="130">
                  <c:v>0.94339622641509435</c:v>
                </c:pt>
                <c:pt idx="131">
                  <c:v>0.20703933747412009</c:v>
                </c:pt>
                <c:pt idx="132">
                  <c:v>1.3916500994035785</c:v>
                </c:pt>
                <c:pt idx="133">
                  <c:v>1.8367346938775511</c:v>
                </c:pt>
                <c:pt idx="134">
                  <c:v>0</c:v>
                </c:pt>
                <c:pt idx="135">
                  <c:v>10.971428571428572</c:v>
                </c:pt>
                <c:pt idx="136">
                  <c:v>39.510489510489514</c:v>
                </c:pt>
                <c:pt idx="137">
                  <c:v>41.580041580041581</c:v>
                </c:pt>
                <c:pt idx="138">
                  <c:v>7.3383084577114426</c:v>
                </c:pt>
                <c:pt idx="139">
                  <c:v>4.4176706827309236</c:v>
                </c:pt>
                <c:pt idx="140">
                  <c:v>12.629070691024623</c:v>
                </c:pt>
                <c:pt idx="141">
                  <c:v>0.8733624454148472</c:v>
                </c:pt>
                <c:pt idx="142">
                  <c:v>4.6454767726161368</c:v>
                </c:pt>
                <c:pt idx="143">
                  <c:v>5.6135770234986948</c:v>
                </c:pt>
                <c:pt idx="144">
                  <c:v>0.77720207253886009</c:v>
                </c:pt>
                <c:pt idx="145">
                  <c:v>1.4925373134328359</c:v>
                </c:pt>
                <c:pt idx="146">
                  <c:v>2.21606648199446</c:v>
                </c:pt>
                <c:pt idx="147">
                  <c:v>5.9541984732824424</c:v>
                </c:pt>
                <c:pt idx="148">
                  <c:v>4.2841037204058621</c:v>
                </c:pt>
                <c:pt idx="149">
                  <c:v>13.131313131313131</c:v>
                </c:pt>
                <c:pt idx="150">
                  <c:v>2.9689608636977058</c:v>
                </c:pt>
                <c:pt idx="151">
                  <c:v>0</c:v>
                </c:pt>
                <c:pt idx="152">
                  <c:v>0.15948963317384371</c:v>
                </c:pt>
                <c:pt idx="153">
                  <c:v>1.1857707509881423</c:v>
                </c:pt>
                <c:pt idx="154">
                  <c:v>0.45662100456621002</c:v>
                </c:pt>
                <c:pt idx="155">
                  <c:v>0.5961251862891207</c:v>
                </c:pt>
                <c:pt idx="156">
                  <c:v>1.1178861788617886</c:v>
                </c:pt>
                <c:pt idx="157">
                  <c:v>45.25</c:v>
                </c:pt>
                <c:pt idx="158">
                  <c:v>8.6614173228346463</c:v>
                </c:pt>
                <c:pt idx="159">
                  <c:v>1.2704174228675136</c:v>
                </c:pt>
                <c:pt idx="160">
                  <c:v>53.719008264462808</c:v>
                </c:pt>
                <c:pt idx="161">
                  <c:v>0</c:v>
                </c:pt>
                <c:pt idx="162">
                  <c:v>0.14347202295552366</c:v>
                </c:pt>
                <c:pt idx="163">
                  <c:v>0.31897926634768742</c:v>
                </c:pt>
                <c:pt idx="164">
                  <c:v>0.46439628482972134</c:v>
                </c:pt>
                <c:pt idx="165">
                  <c:v>0.46082949308755761</c:v>
                </c:pt>
                <c:pt idx="166">
                  <c:v>0.2032520325203252</c:v>
                </c:pt>
                <c:pt idx="167">
                  <c:v>0.53097345132743368</c:v>
                </c:pt>
                <c:pt idx="168">
                  <c:v>2.459016393442623</c:v>
                </c:pt>
                <c:pt idx="169">
                  <c:v>5.0420168067226889</c:v>
                </c:pt>
                <c:pt idx="170">
                  <c:v>4.6931407942238268</c:v>
                </c:pt>
                <c:pt idx="171">
                  <c:v>9.5764272559852675</c:v>
                </c:pt>
                <c:pt idx="172">
                  <c:v>25.336927223719677</c:v>
                </c:pt>
                <c:pt idx="173">
                  <c:v>1.2919896640826873</c:v>
                </c:pt>
                <c:pt idx="174">
                  <c:v>19.329896907216494</c:v>
                </c:pt>
                <c:pt idx="175">
                  <c:v>11.343804537521814</c:v>
                </c:pt>
                <c:pt idx="176">
                  <c:v>13.223140495867769</c:v>
                </c:pt>
                <c:pt idx="177">
                  <c:v>0.39499670836076367</c:v>
                </c:pt>
                <c:pt idx="178">
                  <c:v>43.585237258347981</c:v>
                </c:pt>
                <c:pt idx="179">
                  <c:v>1.8083182640144666</c:v>
                </c:pt>
                <c:pt idx="180">
                  <c:v>3.271692745376956</c:v>
                </c:pt>
                <c:pt idx="181">
                  <c:v>7.5</c:v>
                </c:pt>
              </c:numCache>
            </c:numRef>
          </c:yVal>
          <c:bubbleSize>
            <c:numRef>
              <c:f>'Дума одномандатный'!$J$2:$J$183</c:f>
              <c:numCache>
                <c:formatCode>General</c:formatCode>
                <c:ptCount val="182"/>
                <c:pt idx="0">
                  <c:v>2451</c:v>
                </c:pt>
                <c:pt idx="1">
                  <c:v>1779</c:v>
                </c:pt>
                <c:pt idx="2">
                  <c:v>1942</c:v>
                </c:pt>
                <c:pt idx="3">
                  <c:v>2100</c:v>
                </c:pt>
                <c:pt idx="4">
                  <c:v>1863</c:v>
                </c:pt>
                <c:pt idx="5">
                  <c:v>1954</c:v>
                </c:pt>
                <c:pt idx="6">
                  <c:v>1973</c:v>
                </c:pt>
                <c:pt idx="7">
                  <c:v>1804</c:v>
                </c:pt>
                <c:pt idx="8">
                  <c:v>2012</c:v>
                </c:pt>
                <c:pt idx="9">
                  <c:v>2353</c:v>
                </c:pt>
                <c:pt idx="10">
                  <c:v>2271</c:v>
                </c:pt>
                <c:pt idx="11">
                  <c:v>882</c:v>
                </c:pt>
                <c:pt idx="12">
                  <c:v>1099</c:v>
                </c:pt>
                <c:pt idx="13">
                  <c:v>2400</c:v>
                </c:pt>
                <c:pt idx="14">
                  <c:v>1217</c:v>
                </c:pt>
                <c:pt idx="15">
                  <c:v>1969</c:v>
                </c:pt>
                <c:pt idx="16">
                  <c:v>377</c:v>
                </c:pt>
                <c:pt idx="17">
                  <c:v>1249</c:v>
                </c:pt>
                <c:pt idx="18">
                  <c:v>1716</c:v>
                </c:pt>
                <c:pt idx="19">
                  <c:v>2695</c:v>
                </c:pt>
                <c:pt idx="20">
                  <c:v>1838</c:v>
                </c:pt>
                <c:pt idx="21">
                  <c:v>2079</c:v>
                </c:pt>
                <c:pt idx="22">
                  <c:v>2215</c:v>
                </c:pt>
                <c:pt idx="23">
                  <c:v>2085</c:v>
                </c:pt>
                <c:pt idx="24">
                  <c:v>2269</c:v>
                </c:pt>
                <c:pt idx="25">
                  <c:v>2112</c:v>
                </c:pt>
                <c:pt idx="26">
                  <c:v>2016</c:v>
                </c:pt>
                <c:pt idx="27">
                  <c:v>2330</c:v>
                </c:pt>
                <c:pt idx="28">
                  <c:v>2212</c:v>
                </c:pt>
                <c:pt idx="29">
                  <c:v>1758</c:v>
                </c:pt>
                <c:pt idx="30">
                  <c:v>1121</c:v>
                </c:pt>
                <c:pt idx="31">
                  <c:v>2224</c:v>
                </c:pt>
                <c:pt idx="32">
                  <c:v>1296</c:v>
                </c:pt>
                <c:pt idx="33">
                  <c:v>571</c:v>
                </c:pt>
                <c:pt idx="34">
                  <c:v>965</c:v>
                </c:pt>
                <c:pt idx="35">
                  <c:v>2625</c:v>
                </c:pt>
                <c:pt idx="36">
                  <c:v>1659</c:v>
                </c:pt>
                <c:pt idx="37">
                  <c:v>1916</c:v>
                </c:pt>
                <c:pt idx="38">
                  <c:v>857</c:v>
                </c:pt>
                <c:pt idx="39">
                  <c:v>1412</c:v>
                </c:pt>
                <c:pt idx="40">
                  <c:v>2036</c:v>
                </c:pt>
                <c:pt idx="41">
                  <c:v>559</c:v>
                </c:pt>
                <c:pt idx="42">
                  <c:v>2692</c:v>
                </c:pt>
                <c:pt idx="43">
                  <c:v>2322</c:v>
                </c:pt>
                <c:pt idx="44">
                  <c:v>2409</c:v>
                </c:pt>
                <c:pt idx="45">
                  <c:v>981</c:v>
                </c:pt>
                <c:pt idx="46">
                  <c:v>437</c:v>
                </c:pt>
                <c:pt idx="47">
                  <c:v>1605</c:v>
                </c:pt>
                <c:pt idx="48">
                  <c:v>1548</c:v>
                </c:pt>
                <c:pt idx="49">
                  <c:v>2237</c:v>
                </c:pt>
                <c:pt idx="50">
                  <c:v>1881</c:v>
                </c:pt>
                <c:pt idx="51">
                  <c:v>1667</c:v>
                </c:pt>
                <c:pt idx="52">
                  <c:v>1674</c:v>
                </c:pt>
                <c:pt idx="53">
                  <c:v>525</c:v>
                </c:pt>
                <c:pt idx="54">
                  <c:v>1782</c:v>
                </c:pt>
                <c:pt idx="55">
                  <c:v>1457</c:v>
                </c:pt>
                <c:pt idx="56">
                  <c:v>1498</c:v>
                </c:pt>
                <c:pt idx="57">
                  <c:v>2664</c:v>
                </c:pt>
                <c:pt idx="58">
                  <c:v>2795</c:v>
                </c:pt>
                <c:pt idx="59">
                  <c:v>2603</c:v>
                </c:pt>
                <c:pt idx="60">
                  <c:v>1651</c:v>
                </c:pt>
                <c:pt idx="61">
                  <c:v>1897</c:v>
                </c:pt>
                <c:pt idx="62">
                  <c:v>2020</c:v>
                </c:pt>
                <c:pt idx="63">
                  <c:v>638</c:v>
                </c:pt>
                <c:pt idx="64">
                  <c:v>1470</c:v>
                </c:pt>
                <c:pt idx="65">
                  <c:v>2613</c:v>
                </c:pt>
                <c:pt idx="66">
                  <c:v>711</c:v>
                </c:pt>
                <c:pt idx="67">
                  <c:v>676</c:v>
                </c:pt>
                <c:pt idx="68">
                  <c:v>1850</c:v>
                </c:pt>
                <c:pt idx="69">
                  <c:v>1907</c:v>
                </c:pt>
                <c:pt idx="70">
                  <c:v>1238</c:v>
                </c:pt>
                <c:pt idx="71">
                  <c:v>1122</c:v>
                </c:pt>
                <c:pt idx="72">
                  <c:v>1510</c:v>
                </c:pt>
                <c:pt idx="73">
                  <c:v>1776</c:v>
                </c:pt>
                <c:pt idx="74">
                  <c:v>1310</c:v>
                </c:pt>
                <c:pt idx="75">
                  <c:v>1330</c:v>
                </c:pt>
                <c:pt idx="76">
                  <c:v>2038</c:v>
                </c:pt>
                <c:pt idx="77">
                  <c:v>1190</c:v>
                </c:pt>
                <c:pt idx="78">
                  <c:v>1521</c:v>
                </c:pt>
                <c:pt idx="79">
                  <c:v>710</c:v>
                </c:pt>
                <c:pt idx="80">
                  <c:v>1525</c:v>
                </c:pt>
                <c:pt idx="81">
                  <c:v>1472</c:v>
                </c:pt>
                <c:pt idx="82">
                  <c:v>1933</c:v>
                </c:pt>
                <c:pt idx="83">
                  <c:v>2046</c:v>
                </c:pt>
                <c:pt idx="84">
                  <c:v>1706</c:v>
                </c:pt>
                <c:pt idx="85">
                  <c:v>1705</c:v>
                </c:pt>
                <c:pt idx="86">
                  <c:v>1529</c:v>
                </c:pt>
                <c:pt idx="87">
                  <c:v>1800</c:v>
                </c:pt>
                <c:pt idx="88">
                  <c:v>1926</c:v>
                </c:pt>
                <c:pt idx="89">
                  <c:v>1969</c:v>
                </c:pt>
                <c:pt idx="90">
                  <c:v>1911</c:v>
                </c:pt>
                <c:pt idx="91">
                  <c:v>1647</c:v>
                </c:pt>
                <c:pt idx="92">
                  <c:v>1316</c:v>
                </c:pt>
                <c:pt idx="93">
                  <c:v>2401</c:v>
                </c:pt>
                <c:pt idx="94">
                  <c:v>2141</c:v>
                </c:pt>
                <c:pt idx="95">
                  <c:v>1230</c:v>
                </c:pt>
                <c:pt idx="96">
                  <c:v>915</c:v>
                </c:pt>
                <c:pt idx="97">
                  <c:v>2387</c:v>
                </c:pt>
                <c:pt idx="98">
                  <c:v>1535</c:v>
                </c:pt>
                <c:pt idx="99">
                  <c:v>2645</c:v>
                </c:pt>
                <c:pt idx="100">
                  <c:v>2043</c:v>
                </c:pt>
                <c:pt idx="101">
                  <c:v>2142</c:v>
                </c:pt>
                <c:pt idx="102">
                  <c:v>988</c:v>
                </c:pt>
                <c:pt idx="103">
                  <c:v>176</c:v>
                </c:pt>
                <c:pt idx="104">
                  <c:v>208</c:v>
                </c:pt>
                <c:pt idx="105">
                  <c:v>1743</c:v>
                </c:pt>
                <c:pt idx="106">
                  <c:v>1130</c:v>
                </c:pt>
                <c:pt idx="107">
                  <c:v>2320</c:v>
                </c:pt>
                <c:pt idx="108">
                  <c:v>1279</c:v>
                </c:pt>
                <c:pt idx="109">
                  <c:v>1265</c:v>
                </c:pt>
                <c:pt idx="110">
                  <c:v>1805</c:v>
                </c:pt>
                <c:pt idx="111">
                  <c:v>2569</c:v>
                </c:pt>
                <c:pt idx="112">
                  <c:v>1222</c:v>
                </c:pt>
                <c:pt idx="113">
                  <c:v>1451</c:v>
                </c:pt>
                <c:pt idx="114">
                  <c:v>1203</c:v>
                </c:pt>
                <c:pt idx="115">
                  <c:v>2259</c:v>
                </c:pt>
                <c:pt idx="116">
                  <c:v>1859</c:v>
                </c:pt>
                <c:pt idx="117">
                  <c:v>2084</c:v>
                </c:pt>
                <c:pt idx="118">
                  <c:v>0</c:v>
                </c:pt>
                <c:pt idx="119">
                  <c:v>2430</c:v>
                </c:pt>
                <c:pt idx="120">
                  <c:v>2223</c:v>
                </c:pt>
                <c:pt idx="121">
                  <c:v>2309</c:v>
                </c:pt>
                <c:pt idx="122">
                  <c:v>1997</c:v>
                </c:pt>
                <c:pt idx="123">
                  <c:v>2023</c:v>
                </c:pt>
                <c:pt idx="124">
                  <c:v>2060</c:v>
                </c:pt>
                <c:pt idx="125">
                  <c:v>1748</c:v>
                </c:pt>
                <c:pt idx="126">
                  <c:v>2293</c:v>
                </c:pt>
                <c:pt idx="127">
                  <c:v>2164</c:v>
                </c:pt>
                <c:pt idx="128">
                  <c:v>1987</c:v>
                </c:pt>
                <c:pt idx="129">
                  <c:v>1306</c:v>
                </c:pt>
                <c:pt idx="130">
                  <c:v>1453</c:v>
                </c:pt>
                <c:pt idx="131">
                  <c:v>1542</c:v>
                </c:pt>
                <c:pt idx="132">
                  <c:v>1472</c:v>
                </c:pt>
                <c:pt idx="133">
                  <c:v>1457</c:v>
                </c:pt>
                <c:pt idx="134">
                  <c:v>1850</c:v>
                </c:pt>
                <c:pt idx="135">
                  <c:v>2112</c:v>
                </c:pt>
                <c:pt idx="136">
                  <c:v>1035</c:v>
                </c:pt>
                <c:pt idx="137">
                  <c:v>1900</c:v>
                </c:pt>
                <c:pt idx="138">
                  <c:v>2290</c:v>
                </c:pt>
                <c:pt idx="139">
                  <c:v>2197</c:v>
                </c:pt>
                <c:pt idx="140">
                  <c:v>1800</c:v>
                </c:pt>
                <c:pt idx="141">
                  <c:v>2166</c:v>
                </c:pt>
                <c:pt idx="142">
                  <c:v>2054</c:v>
                </c:pt>
                <c:pt idx="143">
                  <c:v>2109</c:v>
                </c:pt>
                <c:pt idx="144">
                  <c:v>1256</c:v>
                </c:pt>
                <c:pt idx="145">
                  <c:v>1272</c:v>
                </c:pt>
                <c:pt idx="146">
                  <c:v>1023</c:v>
                </c:pt>
                <c:pt idx="147">
                  <c:v>1911</c:v>
                </c:pt>
                <c:pt idx="148">
                  <c:v>2337</c:v>
                </c:pt>
                <c:pt idx="149">
                  <c:v>2210</c:v>
                </c:pt>
                <c:pt idx="150">
                  <c:v>2642</c:v>
                </c:pt>
                <c:pt idx="151">
                  <c:v>1817</c:v>
                </c:pt>
                <c:pt idx="152">
                  <c:v>1939</c:v>
                </c:pt>
                <c:pt idx="153">
                  <c:v>2070</c:v>
                </c:pt>
                <c:pt idx="154">
                  <c:v>2285</c:v>
                </c:pt>
                <c:pt idx="155">
                  <c:v>2551</c:v>
                </c:pt>
                <c:pt idx="156">
                  <c:v>2992</c:v>
                </c:pt>
                <c:pt idx="157">
                  <c:v>752</c:v>
                </c:pt>
                <c:pt idx="158">
                  <c:v>793</c:v>
                </c:pt>
                <c:pt idx="159">
                  <c:v>1731</c:v>
                </c:pt>
                <c:pt idx="160">
                  <c:v>1086</c:v>
                </c:pt>
                <c:pt idx="161">
                  <c:v>2924</c:v>
                </c:pt>
                <c:pt idx="162">
                  <c:v>2676</c:v>
                </c:pt>
                <c:pt idx="163">
                  <c:v>2358</c:v>
                </c:pt>
                <c:pt idx="164">
                  <c:v>2212</c:v>
                </c:pt>
                <c:pt idx="165">
                  <c:v>2419</c:v>
                </c:pt>
                <c:pt idx="166">
                  <c:v>2155</c:v>
                </c:pt>
                <c:pt idx="167">
                  <c:v>2359</c:v>
                </c:pt>
                <c:pt idx="168">
                  <c:v>2958</c:v>
                </c:pt>
                <c:pt idx="169">
                  <c:v>749</c:v>
                </c:pt>
                <c:pt idx="170">
                  <c:v>2663</c:v>
                </c:pt>
                <c:pt idx="171">
                  <c:v>1277</c:v>
                </c:pt>
                <c:pt idx="172">
                  <c:v>1083</c:v>
                </c:pt>
                <c:pt idx="173">
                  <c:v>1232</c:v>
                </c:pt>
                <c:pt idx="174">
                  <c:v>1032</c:v>
                </c:pt>
                <c:pt idx="175">
                  <c:v>1715</c:v>
                </c:pt>
                <c:pt idx="176">
                  <c:v>1709</c:v>
                </c:pt>
                <c:pt idx="177">
                  <c:v>2441</c:v>
                </c:pt>
                <c:pt idx="178">
                  <c:v>1806</c:v>
                </c:pt>
                <c:pt idx="179">
                  <c:v>1312</c:v>
                </c:pt>
                <c:pt idx="180">
                  <c:v>1658</c:v>
                </c:pt>
                <c:pt idx="181">
                  <c:v>1066</c:v>
                </c:pt>
              </c:numCache>
            </c:numRef>
          </c:bubbleSize>
          <c:bubble3D val="0"/>
          <c:extLst>
            <c:ext xmlns:c16="http://schemas.microsoft.com/office/drawing/2014/chart" uri="{C3380CC4-5D6E-409C-BE32-E72D297353CC}">
              <c16:uniqueId val="{00000001-8E4C-44BC-8654-729D3219AB2C}"/>
            </c:ext>
          </c:extLst>
        </c:ser>
        <c:ser>
          <c:idx val="3"/>
          <c:order val="12"/>
          <c:tx>
            <c:strRef>
              <c:f>'Дума одномандатный'!$AA$202</c:f>
              <c:strCache>
                <c:ptCount val="1"/>
                <c:pt idx="0">
                  <c:v>Вручную задано: Майданов (ЕР) без фальс. (%)</c:v>
                </c:pt>
              </c:strCache>
            </c:strRef>
          </c:tx>
          <c:spPr>
            <a:ln w="25400">
              <a:noFill/>
            </a:ln>
          </c:spPr>
          <c:invertIfNegative val="0"/>
          <c:errBars>
            <c:errDir val="x"/>
            <c:errBarType val="minus"/>
            <c:errValType val="percentage"/>
            <c:noEndCap val="1"/>
            <c:val val="100"/>
            <c:spPr>
              <a:ln>
                <a:solidFill>
                  <a:srgbClr val="0000FF">
                    <a:alpha val="50000"/>
                  </a:srgbClr>
                </a:solidFill>
              </a:ln>
            </c:spPr>
          </c:errBars>
          <c:xVal>
            <c:numLit>
              <c:formatCode>General</c:formatCode>
              <c:ptCount val="1"/>
              <c:pt idx="0">
                <c:v>100</c:v>
              </c:pt>
            </c:numLit>
          </c:xVal>
          <c:yVal>
            <c:numRef>
              <c:f>'Дума одномандатный'!$AA$203</c:f>
              <c:numCache>
                <c:formatCode>0.0</c:formatCode>
                <c:ptCount val="1"/>
                <c:pt idx="0">
                  <c:v>25.8</c:v>
                </c:pt>
              </c:numCache>
            </c:numRef>
          </c:yVal>
          <c:bubbleSize>
            <c:numLit>
              <c:formatCode>General</c:formatCode>
              <c:ptCount val="10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numLit>
          </c:bubbleSize>
          <c:bubble3D val="0"/>
          <c:extLst>
            <c:ext xmlns:c16="http://schemas.microsoft.com/office/drawing/2014/chart" uri="{C3380CC4-5D6E-409C-BE32-E72D297353CC}">
              <c16:uniqueId val="{00000000-951E-4838-9D9F-A5519B3C1854}"/>
            </c:ext>
          </c:extLst>
        </c:ser>
        <c:ser>
          <c:idx val="5"/>
          <c:order val="13"/>
          <c:tx>
            <c:strRef>
              <c:f>'Дума одномандатный'!$AA$221</c:f>
              <c:strCache>
                <c:ptCount val="1"/>
                <c:pt idx="0">
                  <c:v>Макс. размер кружка</c:v>
                </c:pt>
              </c:strCache>
            </c:strRef>
          </c:tx>
          <c:spPr>
            <a:solidFill>
              <a:srgbClr val="000000">
                <a:alpha val="50000"/>
              </a:srgbClr>
            </a:solidFill>
            <a:ln w="25400">
              <a:noFill/>
            </a:ln>
          </c:spPr>
          <c:invertIfNegative val="0"/>
          <c:xVal>
            <c:numLit>
              <c:formatCode>General</c:formatCode>
              <c:ptCount val="1"/>
              <c:pt idx="0">
                <c:v>-10</c:v>
              </c:pt>
            </c:numLit>
          </c:xVal>
          <c:yVal>
            <c:numLit>
              <c:formatCode>General</c:formatCode>
              <c:ptCount val="1"/>
              <c:pt idx="0">
                <c:v>-10</c:v>
              </c:pt>
            </c:numLit>
          </c:yVal>
          <c:bubbleSize>
            <c:numRef>
              <c:f>'Дума одномандатный'!$AA$222</c:f>
              <c:numCache>
                <c:formatCode>General</c:formatCode>
                <c:ptCount val="1"/>
                <c:pt idx="0">
                  <c:v>5984</c:v>
                </c:pt>
              </c:numCache>
            </c:numRef>
          </c:bubbleSize>
          <c:bubble3D val="0"/>
          <c:extLst>
            <c:ext xmlns:c16="http://schemas.microsoft.com/office/drawing/2014/chart" uri="{C3380CC4-5D6E-409C-BE32-E72D297353CC}">
              <c16:uniqueId val="{00000000-A99E-47A6-A50F-8DB9E2C4D2C2}"/>
            </c:ext>
          </c:extLst>
        </c:ser>
        <c:dLbls>
          <c:showLegendKey val="0"/>
          <c:showVal val="0"/>
          <c:showCatName val="0"/>
          <c:showSerName val="0"/>
          <c:showPercent val="0"/>
          <c:showBubbleSize val="0"/>
        </c:dLbls>
        <c:bubbleScale val="10"/>
        <c:showNegBubbles val="0"/>
        <c:axId val="1404683680"/>
        <c:axId val="1467487472"/>
      </c:bubbleChart>
      <c:valAx>
        <c:axId val="1404683680"/>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ru-RU"/>
                  <a:t>Явка (%)</a:t>
                </a:r>
                <a:endParaRPr lang="en-US"/>
              </a:p>
            </c:rich>
          </c:tx>
          <c:layout>
            <c:manualLayout>
              <c:xMode val="edge"/>
              <c:yMode val="edge"/>
              <c:x val="0.5239235860409146"/>
              <c:y val="0.97176842105263161"/>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7487472"/>
        <c:crossesAt val="0"/>
        <c:crossBetween val="midCat"/>
      </c:valAx>
      <c:valAx>
        <c:axId val="1467487472"/>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ru-RU"/>
                  <a:t>% за</a:t>
                </a:r>
                <a:endParaRPr lang="en-US"/>
              </a:p>
            </c:rich>
          </c:tx>
          <c:layout>
            <c:manualLayout>
              <c:xMode val="edge"/>
              <c:yMode val="edge"/>
              <c:x val="0"/>
              <c:y val="0.4319714912280701"/>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683680"/>
        <c:crosses val="autoZero"/>
        <c:crossBetween val="midCat"/>
        <c:majorUnit val="10"/>
      </c:valAx>
    </c:plotArea>
    <c:legend>
      <c:legendPos val="b"/>
      <c:layout>
        <c:manualLayout>
          <c:xMode val="edge"/>
          <c:yMode val="edge"/>
          <c:x val="3.744645006016848E-2"/>
          <c:y val="0.11734371345029242"/>
          <c:w val="0.18107581227436823"/>
          <c:h val="0.39575482456140348"/>
        </c:manualLayout>
      </c:layout>
      <c:overlay val="0"/>
      <c:spPr>
        <a:solidFill>
          <a:srgbClr val="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928619333524344E-2"/>
          <c:y val="2.9282963809134303E-2"/>
          <c:w val="0.95261901191169107"/>
          <c:h val="0.92797105263157886"/>
        </c:manualLayout>
      </c:layout>
      <c:bubbleChart>
        <c:varyColors val="0"/>
        <c:ser>
          <c:idx val="8"/>
          <c:order val="0"/>
          <c:tx>
            <c:strRef>
              <c:f>'Мособлдума одномандатный №6'!$AB$1</c:f>
              <c:strCache>
                <c:ptCount val="1"/>
                <c:pt idx="0">
                  <c:v>Водонаев (СР)</c:v>
                </c:pt>
              </c:strCache>
            </c:strRef>
          </c:tx>
          <c:spPr>
            <a:solidFill>
              <a:srgbClr val="6666FF">
                <a:alpha val="49804"/>
              </a:srgbClr>
            </a:solidFill>
            <a:ln w="25400">
              <a:noFill/>
            </a:ln>
          </c:spPr>
          <c:invertIfNegative val="0"/>
          <c:xVal>
            <c:numRef>
              <c:f>'Мособлдума одномандатный №6'!$O$2:$O$183</c:f>
              <c:numCache>
                <c:formatCode>0.0</c:formatCode>
                <c:ptCount val="157"/>
                <c:pt idx="0">
                  <c:v>65.116279069767444</c:v>
                </c:pt>
                <c:pt idx="1">
                  <c:v>53.515625</c:v>
                </c:pt>
                <c:pt idx="2">
                  <c:v>54.705586311021641</c:v>
                </c:pt>
                <c:pt idx="3">
                  <c:v>54.665409990574929</c:v>
                </c:pt>
                <c:pt idx="4">
                  <c:v>48.402304871660554</c:v>
                </c:pt>
                <c:pt idx="5">
                  <c:v>50.256673511293634</c:v>
                </c:pt>
                <c:pt idx="6">
                  <c:v>59.511698880976603</c:v>
                </c:pt>
                <c:pt idx="7">
                  <c:v>73.105413105413106</c:v>
                </c:pt>
                <c:pt idx="8">
                  <c:v>71.602532878714072</c:v>
                </c:pt>
                <c:pt idx="9">
                  <c:v>35.954101147471313</c:v>
                </c:pt>
                <c:pt idx="10">
                  <c:v>25.491949910554563</c:v>
                </c:pt>
                <c:pt idx="11">
                  <c:v>72.551252847380411</c:v>
                </c:pt>
                <c:pt idx="12">
                  <c:v>50.85662759242561</c:v>
                </c:pt>
                <c:pt idx="13">
                  <c:v>34.612105711849956</c:v>
                </c:pt>
                <c:pt idx="14">
                  <c:v>46.317512274959086</c:v>
                </c:pt>
                <c:pt idx="15">
                  <c:v>29.254783484390735</c:v>
                </c:pt>
                <c:pt idx="16">
                  <c:v>42.440318302387269</c:v>
                </c:pt>
                <c:pt idx="17">
                  <c:v>30.929487179487179</c:v>
                </c:pt>
                <c:pt idx="18">
                  <c:v>48.484848484848484</c:v>
                </c:pt>
                <c:pt idx="19">
                  <c:v>35.881261595547308</c:v>
                </c:pt>
                <c:pt idx="20">
                  <c:v>24.111111111111111</c:v>
                </c:pt>
                <c:pt idx="21">
                  <c:v>46.110056925996204</c:v>
                </c:pt>
                <c:pt idx="22">
                  <c:v>30.474040632054177</c:v>
                </c:pt>
                <c:pt idx="23">
                  <c:v>36.268939393939391</c:v>
                </c:pt>
                <c:pt idx="24">
                  <c:v>32.671957671957671</c:v>
                </c:pt>
                <c:pt idx="25">
                  <c:v>37.642045454545453</c:v>
                </c:pt>
                <c:pt idx="26">
                  <c:v>60.449786739046139</c:v>
                </c:pt>
                <c:pt idx="27">
                  <c:v>80.650994575045203</c:v>
                </c:pt>
                <c:pt idx="28">
                  <c:v>37.082691319979453</c:v>
                </c:pt>
                <c:pt idx="29">
                  <c:v>38.739789964994166</c:v>
                </c:pt>
                <c:pt idx="30">
                  <c:v>39.518413597733712</c:v>
                </c:pt>
                <c:pt idx="31">
                  <c:v>34.831460674157306</c:v>
                </c:pt>
                <c:pt idx="32">
                  <c:v>30.223880597014926</c:v>
                </c:pt>
                <c:pt idx="33">
                  <c:v>33.638968481375358</c:v>
                </c:pt>
                <c:pt idx="34">
                  <c:v>33.585684790089473</c:v>
                </c:pt>
                <c:pt idx="35">
                  <c:v>42.446524064171122</c:v>
                </c:pt>
                <c:pt idx="36">
                  <c:v>34.732109404271263</c:v>
                </c:pt>
                <c:pt idx="37">
                  <c:v>27.295462665237586</c:v>
                </c:pt>
                <c:pt idx="38">
                  <c:v>38.404088050314463</c:v>
                </c:pt>
                <c:pt idx="39">
                  <c:v>36.167664670658681</c:v>
                </c:pt>
                <c:pt idx="40">
                  <c:v>43.786356425171867</c:v>
                </c:pt>
                <c:pt idx="41">
                  <c:v>26.260080645161292</c:v>
                </c:pt>
                <c:pt idx="42">
                  <c:v>26.273885350318473</c:v>
                </c:pt>
                <c:pt idx="43">
                  <c:v>29.20353982300885</c:v>
                </c:pt>
                <c:pt idx="44">
                  <c:v>56.201248049922</c:v>
                </c:pt>
                <c:pt idx="45">
                  <c:v>64.135021097046419</c:v>
                </c:pt>
                <c:pt idx="46">
                  <c:v>50.591715976331358</c:v>
                </c:pt>
                <c:pt idx="47">
                  <c:v>43.617630223239843</c:v>
                </c:pt>
                <c:pt idx="48">
                  <c:v>52.123754588358679</c:v>
                </c:pt>
                <c:pt idx="49">
                  <c:v>37.353433835845898</c:v>
                </c:pt>
                <c:pt idx="50">
                  <c:v>40.566873339238263</c:v>
                </c:pt>
                <c:pt idx="51">
                  <c:v>39.118825100133513</c:v>
                </c:pt>
                <c:pt idx="52">
                  <c:v>20.602474448628296</c:v>
                </c:pt>
                <c:pt idx="53">
                  <c:v>33.231939163498097</c:v>
                </c:pt>
                <c:pt idx="54">
                  <c:v>48.615384615384613</c:v>
                </c:pt>
                <c:pt idx="55">
                  <c:v>53.189401373895976</c:v>
                </c:pt>
                <c:pt idx="56">
                  <c:v>58.823529411764703</c:v>
                </c:pt>
                <c:pt idx="57">
                  <c:v>48.980933596318209</c:v>
                </c:pt>
                <c:pt idx="58">
                  <c:v>40.422535211267608</c:v>
                </c:pt>
                <c:pt idx="59">
                  <c:v>50.819672131147541</c:v>
                </c:pt>
                <c:pt idx="60">
                  <c:v>39.598662207357862</c:v>
                </c:pt>
                <c:pt idx="61">
                  <c:v>50.497787610619469</c:v>
                </c:pt>
                <c:pt idx="62">
                  <c:v>44.234592445328033</c:v>
                </c:pt>
                <c:pt idx="63">
                  <c:v>40.035693039857229</c:v>
                </c:pt>
                <c:pt idx="64">
                  <c:v>38.27893175074184</c:v>
                </c:pt>
                <c:pt idx="65">
                  <c:v>43.427076520601702</c:v>
                </c:pt>
                <c:pt idx="66">
                  <c:v>35.166666666666664</c:v>
                </c:pt>
                <c:pt idx="67">
                  <c:v>36.234177215189874</c:v>
                </c:pt>
                <c:pt idx="68">
                  <c:v>43.453897096281203</c:v>
                </c:pt>
                <c:pt idx="69">
                  <c:v>48.370136698212406</c:v>
                </c:pt>
                <c:pt idx="70">
                  <c:v>50.819672131147541</c:v>
                </c:pt>
                <c:pt idx="71">
                  <c:v>53.723404255319146</c:v>
                </c:pt>
                <c:pt idx="72">
                  <c:v>47.549224968579807</c:v>
                </c:pt>
                <c:pt idx="73">
                  <c:v>52.247557003257327</c:v>
                </c:pt>
                <c:pt idx="74">
                  <c:v>31.077504725897921</c:v>
                </c:pt>
                <c:pt idx="75">
                  <c:v>33.969652471855113</c:v>
                </c:pt>
                <c:pt idx="76">
                  <c:v>52.412060301507537</c:v>
                </c:pt>
                <c:pt idx="77">
                  <c:v>54.251012145748987</c:v>
                </c:pt>
                <c:pt idx="78">
                  <c:v>100</c:v>
                </c:pt>
                <c:pt idx="79">
                  <c:v>67.46987951807229</c:v>
                </c:pt>
                <c:pt idx="80">
                  <c:v>44.665153234960272</c:v>
                </c:pt>
                <c:pt idx="81">
                  <c:v>34.619002822201317</c:v>
                </c:pt>
                <c:pt idx="82">
                  <c:v>35.362694300518136</c:v>
                </c:pt>
                <c:pt idx="83">
                  <c:v>39.04</c:v>
                </c:pt>
                <c:pt idx="84">
                  <c:v>35.573122529644266</c:v>
                </c:pt>
                <c:pt idx="85">
                  <c:v>43.721198156682028</c:v>
                </c:pt>
                <c:pt idx="86">
                  <c:v>38.940448569218873</c:v>
                </c:pt>
                <c:pt idx="87">
                  <c:v>38.696701528559935</c:v>
                </c:pt>
                <c:pt idx="88">
                  <c:v>40.17918676774638</c:v>
                </c:pt>
                <c:pt idx="89">
                  <c:v>36.810856658184903</c:v>
                </c:pt>
                <c:pt idx="90">
                  <c:v>34.310722100656456</c:v>
                </c:pt>
                <c:pt idx="91">
                  <c:v>44.636471990464841</c:v>
                </c:pt>
                <c:pt idx="92">
                  <c:v>34.172839506172842</c:v>
                </c:pt>
                <c:pt idx="93">
                  <c:v>0</c:v>
                </c:pt>
                <c:pt idx="94">
                  <c:v>38.10699588477366</c:v>
                </c:pt>
                <c:pt idx="95">
                  <c:v>30.737890448166592</c:v>
                </c:pt>
                <c:pt idx="96">
                  <c:v>52.017167381974247</c:v>
                </c:pt>
                <c:pt idx="97">
                  <c:v>34.624937903626432</c:v>
                </c:pt>
                <c:pt idx="98">
                  <c:v>35.096391497775578</c:v>
                </c:pt>
                <c:pt idx="99">
                  <c:v>42.716535433070867</c:v>
                </c:pt>
                <c:pt idx="100">
                  <c:v>39.681637293916999</c:v>
                </c:pt>
                <c:pt idx="101">
                  <c:v>35.935455734845178</c:v>
                </c:pt>
                <c:pt idx="102">
                  <c:v>33.088235294117645</c:v>
                </c:pt>
                <c:pt idx="103">
                  <c:v>35.335335335335337</c:v>
                </c:pt>
                <c:pt idx="104">
                  <c:v>41.009946442234124</c:v>
                </c:pt>
                <c:pt idx="105">
                  <c:v>70.199587061252586</c:v>
                </c:pt>
                <c:pt idx="106">
                  <c:v>31.322957198443579</c:v>
                </c:pt>
                <c:pt idx="107">
                  <c:v>33.652530779753761</c:v>
                </c:pt>
                <c:pt idx="108">
                  <c:v>33.426378227494766</c:v>
                </c:pt>
                <c:pt idx="109">
                  <c:v>28.27027027027027</c:v>
                </c:pt>
                <c:pt idx="110">
                  <c:v>41.449549976314543</c:v>
                </c:pt>
                <c:pt idx="111">
                  <c:v>54.589371980676326</c:v>
                </c:pt>
                <c:pt idx="112">
                  <c:v>50.391644908616186</c:v>
                </c:pt>
                <c:pt idx="113">
                  <c:v>34.235807860262007</c:v>
                </c:pt>
                <c:pt idx="114">
                  <c:v>32.918702798756108</c:v>
                </c:pt>
                <c:pt idx="115">
                  <c:v>69.944444444444443</c:v>
                </c:pt>
                <c:pt idx="116">
                  <c:v>31.498612395929694</c:v>
                </c:pt>
                <c:pt idx="117">
                  <c:v>39.067055393586003</c:v>
                </c:pt>
                <c:pt idx="118">
                  <c:v>35.846372688477949</c:v>
                </c:pt>
                <c:pt idx="119">
                  <c:v>29.496402877697843</c:v>
                </c:pt>
                <c:pt idx="120">
                  <c:v>36.15023474178404</c:v>
                </c:pt>
                <c:pt idx="121">
                  <c:v>32.619775739041792</c:v>
                </c:pt>
                <c:pt idx="122">
                  <c:v>32.914704343275773</c:v>
                </c:pt>
                <c:pt idx="123">
                  <c:v>36.454703832752614</c:v>
                </c:pt>
                <c:pt idx="124">
                  <c:v>38.655077767612077</c:v>
                </c:pt>
                <c:pt idx="125">
                  <c:v>26.343679031037095</c:v>
                </c:pt>
                <c:pt idx="126">
                  <c:v>27.943661971830984</c:v>
                </c:pt>
                <c:pt idx="127">
                  <c:v>30.517423442449843</c:v>
                </c:pt>
                <c:pt idx="128">
                  <c:v>24.2512077294686</c:v>
                </c:pt>
                <c:pt idx="129">
                  <c:v>25.774134790528233</c:v>
                </c:pt>
                <c:pt idx="130">
                  <c:v>21.677773422187379</c:v>
                </c:pt>
                <c:pt idx="131">
                  <c:v>30.321697467488022</c:v>
                </c:pt>
                <c:pt idx="132">
                  <c:v>53.324468085106382</c:v>
                </c:pt>
                <c:pt idx="133">
                  <c:v>50.189155107187894</c:v>
                </c:pt>
                <c:pt idx="134">
                  <c:v>31.195840554592721</c:v>
                </c:pt>
                <c:pt idx="135">
                  <c:v>44.290976058931861</c:v>
                </c:pt>
                <c:pt idx="136">
                  <c:v>25.843812045003308</c:v>
                </c:pt>
                <c:pt idx="137">
                  <c:v>21.28082736674622</c:v>
                </c:pt>
                <c:pt idx="138">
                  <c:v>25.108412836079793</c:v>
                </c:pt>
                <c:pt idx="139">
                  <c:v>25.090415913200722</c:v>
                </c:pt>
                <c:pt idx="140">
                  <c:v>25.754443985117817</c:v>
                </c:pt>
                <c:pt idx="141">
                  <c:v>23.076923076923077</c:v>
                </c:pt>
                <c:pt idx="142">
                  <c:v>21.449766850360323</c:v>
                </c:pt>
                <c:pt idx="143">
                  <c:v>24.273157538877619</c:v>
                </c:pt>
                <c:pt idx="144">
                  <c:v>16.688918558077436</c:v>
                </c:pt>
                <c:pt idx="145">
                  <c:v>20.277882087870822</c:v>
                </c:pt>
                <c:pt idx="146">
                  <c:v>40.563821456538761</c:v>
                </c:pt>
                <c:pt idx="147">
                  <c:v>33.180987202925046</c:v>
                </c:pt>
                <c:pt idx="148">
                  <c:v>30.681818181818183</c:v>
                </c:pt>
                <c:pt idx="149">
                  <c:v>35.09286412512219</c:v>
                </c:pt>
                <c:pt idx="150">
                  <c:v>36.991150442477874</c:v>
                </c:pt>
                <c:pt idx="151">
                  <c:v>47.942754919499109</c:v>
                </c:pt>
                <c:pt idx="152">
                  <c:v>62.192013593882756</c:v>
                </c:pt>
                <c:pt idx="153">
                  <c:v>31.339977851605759</c:v>
                </c:pt>
                <c:pt idx="154">
                  <c:v>40.958268933539415</c:v>
                </c:pt>
                <c:pt idx="155">
                  <c:v>41.6767189384801</c:v>
                </c:pt>
                <c:pt idx="156">
                  <c:v>23.50187265917603</c:v>
                </c:pt>
              </c:numCache>
            </c:numRef>
          </c:xVal>
          <c:yVal>
            <c:numRef>
              <c:f>'Мособлдума одномандатный №6'!$AB$2:$AB$183</c:f>
              <c:numCache>
                <c:formatCode>0.0</c:formatCode>
                <c:ptCount val="157"/>
                <c:pt idx="0">
                  <c:v>13.283208020050125</c:v>
                </c:pt>
                <c:pt idx="1">
                  <c:v>14.524555903866249</c:v>
                </c:pt>
                <c:pt idx="2">
                  <c:v>10.618651892890121</c:v>
                </c:pt>
                <c:pt idx="3">
                  <c:v>13.581314878892734</c:v>
                </c:pt>
                <c:pt idx="4">
                  <c:v>19.82475355969332</c:v>
                </c:pt>
                <c:pt idx="5">
                  <c:v>12.665985699693564</c:v>
                </c:pt>
                <c:pt idx="6">
                  <c:v>9.6581196581196576</c:v>
                </c:pt>
                <c:pt idx="7">
                  <c:v>10.876369327073553</c:v>
                </c:pt>
                <c:pt idx="8">
                  <c:v>11.904761904761905</c:v>
                </c:pt>
                <c:pt idx="9">
                  <c:v>18.452380952380953</c:v>
                </c:pt>
                <c:pt idx="10">
                  <c:v>25.789473684210527</c:v>
                </c:pt>
                <c:pt idx="11">
                  <c:v>8.4772370486656197</c:v>
                </c:pt>
                <c:pt idx="12">
                  <c:v>16.312056737588652</c:v>
                </c:pt>
                <c:pt idx="13">
                  <c:v>18.842364532019705</c:v>
                </c:pt>
                <c:pt idx="14">
                  <c:v>15.901060070671377</c:v>
                </c:pt>
                <c:pt idx="15">
                  <c:v>19.793459552495698</c:v>
                </c:pt>
                <c:pt idx="16">
                  <c:v>13.125</c:v>
                </c:pt>
                <c:pt idx="17">
                  <c:v>24.736842105263158</c:v>
                </c:pt>
                <c:pt idx="18">
                  <c:v>13.942307692307692</c:v>
                </c:pt>
                <c:pt idx="19">
                  <c:v>15.975103734439834</c:v>
                </c:pt>
                <c:pt idx="20">
                  <c:v>17.281105990783409</c:v>
                </c:pt>
                <c:pt idx="21">
                  <c:v>11.213991769547325</c:v>
                </c:pt>
                <c:pt idx="22">
                  <c:v>18.249258160237389</c:v>
                </c:pt>
                <c:pt idx="23">
                  <c:v>22.06266318537859</c:v>
                </c:pt>
                <c:pt idx="24">
                  <c:v>19.770773638968482</c:v>
                </c:pt>
                <c:pt idx="25">
                  <c:v>19.371069182389938</c:v>
                </c:pt>
                <c:pt idx="26">
                  <c:v>10.77613855035279</c:v>
                </c:pt>
                <c:pt idx="27">
                  <c:v>9.3423019431988035</c:v>
                </c:pt>
                <c:pt idx="28">
                  <c:v>13.850415512465373</c:v>
                </c:pt>
                <c:pt idx="29">
                  <c:v>15.963855421686747</c:v>
                </c:pt>
                <c:pt idx="30">
                  <c:v>13.799283154121865</c:v>
                </c:pt>
                <c:pt idx="31">
                  <c:v>18.953323903818955</c:v>
                </c:pt>
                <c:pt idx="32">
                  <c:v>10.493827160493828</c:v>
                </c:pt>
                <c:pt idx="33">
                  <c:v>23.72013651877133</c:v>
                </c:pt>
                <c:pt idx="34">
                  <c:v>25.819672131147541</c:v>
                </c:pt>
                <c:pt idx="35">
                  <c:v>18.897637795275589</c:v>
                </c:pt>
                <c:pt idx="36">
                  <c:v>27.076591154261056</c:v>
                </c:pt>
                <c:pt idx="37">
                  <c:v>25.785340314136125</c:v>
                </c:pt>
                <c:pt idx="38">
                  <c:v>21.187308085977481</c:v>
                </c:pt>
                <c:pt idx="39">
                  <c:v>20.033112582781456</c:v>
                </c:pt>
                <c:pt idx="40">
                  <c:v>15.579710144927537</c:v>
                </c:pt>
                <c:pt idx="41">
                  <c:v>26.103646833013435</c:v>
                </c:pt>
                <c:pt idx="42">
                  <c:v>22.424242424242426</c:v>
                </c:pt>
                <c:pt idx="43">
                  <c:v>17.715617715617714</c:v>
                </c:pt>
                <c:pt idx="44">
                  <c:v>12.283136710617626</c:v>
                </c:pt>
                <c:pt idx="45">
                  <c:v>14.473684210526315</c:v>
                </c:pt>
                <c:pt idx="46">
                  <c:v>15.789473684210526</c:v>
                </c:pt>
                <c:pt idx="47">
                  <c:v>19.553805774278214</c:v>
                </c:pt>
                <c:pt idx="48">
                  <c:v>19.718309859154928</c:v>
                </c:pt>
                <c:pt idx="49">
                  <c:v>16.706443914081145</c:v>
                </c:pt>
                <c:pt idx="50">
                  <c:v>16.630196936542671</c:v>
                </c:pt>
                <c:pt idx="51">
                  <c:v>18.038528896672503</c:v>
                </c:pt>
                <c:pt idx="52">
                  <c:v>25.587467362924283</c:v>
                </c:pt>
                <c:pt idx="53">
                  <c:v>22.01834862385321</c:v>
                </c:pt>
                <c:pt idx="54">
                  <c:v>14.715189873417721</c:v>
                </c:pt>
                <c:pt idx="55">
                  <c:v>11.346863468634686</c:v>
                </c:pt>
                <c:pt idx="56">
                  <c:v>12.54071661237785</c:v>
                </c:pt>
                <c:pt idx="57">
                  <c:v>12.483221476510067</c:v>
                </c:pt>
                <c:pt idx="58">
                  <c:v>17.832167832167833</c:v>
                </c:pt>
                <c:pt idx="59">
                  <c:v>17.806451612903224</c:v>
                </c:pt>
                <c:pt idx="60">
                  <c:v>17.905405405405407</c:v>
                </c:pt>
                <c:pt idx="61">
                  <c:v>16.666666666666668</c:v>
                </c:pt>
                <c:pt idx="62">
                  <c:v>21.954022988505749</c:v>
                </c:pt>
                <c:pt idx="63">
                  <c:v>20.92675635276532</c:v>
                </c:pt>
                <c:pt idx="64">
                  <c:v>21.395348837209301</c:v>
                </c:pt>
                <c:pt idx="65">
                  <c:v>18.524096385542169</c:v>
                </c:pt>
                <c:pt idx="66">
                  <c:v>20.379146919431278</c:v>
                </c:pt>
                <c:pt idx="67">
                  <c:v>19.405320813771517</c:v>
                </c:pt>
                <c:pt idx="68">
                  <c:v>13.833528722157093</c:v>
                </c:pt>
                <c:pt idx="69">
                  <c:v>15.326086956521738</c:v>
                </c:pt>
                <c:pt idx="70">
                  <c:v>16.845878136200717</c:v>
                </c:pt>
                <c:pt idx="71">
                  <c:v>13.012729844413013</c:v>
                </c:pt>
                <c:pt idx="72">
                  <c:v>14.625550660792952</c:v>
                </c:pt>
                <c:pt idx="73">
                  <c:v>14.214463840399002</c:v>
                </c:pt>
                <c:pt idx="74">
                  <c:v>22.992700729927009</c:v>
                </c:pt>
                <c:pt idx="75">
                  <c:v>23.487031700288185</c:v>
                </c:pt>
                <c:pt idx="76">
                  <c:v>21.086956521739129</c:v>
                </c:pt>
                <c:pt idx="77">
                  <c:v>11.742424242424242</c:v>
                </c:pt>
                <c:pt idx="78">
                  <c:v>3.3707865168539324</c:v>
                </c:pt>
                <c:pt idx="79">
                  <c:v>16.071428571428573</c:v>
                </c:pt>
                <c:pt idx="80">
                  <c:v>17.280813214739517</c:v>
                </c:pt>
                <c:pt idx="81">
                  <c:v>19.836956521739129</c:v>
                </c:pt>
                <c:pt idx="82">
                  <c:v>22.222222222222221</c:v>
                </c:pt>
                <c:pt idx="83">
                  <c:v>17.695473251028808</c:v>
                </c:pt>
                <c:pt idx="84">
                  <c:v>21.777777777777779</c:v>
                </c:pt>
                <c:pt idx="85">
                  <c:v>22.404371584699454</c:v>
                </c:pt>
                <c:pt idx="86">
                  <c:v>24.63465553235908</c:v>
                </c:pt>
                <c:pt idx="87">
                  <c:v>23.529411764705884</c:v>
                </c:pt>
                <c:pt idx="88">
                  <c:v>17.324185248713551</c:v>
                </c:pt>
                <c:pt idx="89">
                  <c:v>19.815668202764979</c:v>
                </c:pt>
                <c:pt idx="90">
                  <c:v>22.066326530612244</c:v>
                </c:pt>
                <c:pt idx="91">
                  <c:v>16.08876560332871</c:v>
                </c:pt>
                <c:pt idx="92">
                  <c:v>23.121387283236995</c:v>
                </c:pt>
                <c:pt idx="93">
                  <c:v>0</c:v>
                </c:pt>
                <c:pt idx="94">
                  <c:v>16.972972972972972</c:v>
                </c:pt>
                <c:pt idx="95">
                  <c:v>25.773195876288661</c:v>
                </c:pt>
                <c:pt idx="96">
                  <c:v>15.346534653465346</c:v>
                </c:pt>
                <c:pt idx="97">
                  <c:v>19.66966966966967</c:v>
                </c:pt>
                <c:pt idx="98">
                  <c:v>19.602272727272727</c:v>
                </c:pt>
                <c:pt idx="99">
                  <c:v>19.342604298356513</c:v>
                </c:pt>
                <c:pt idx="100">
                  <c:v>16.379310344827587</c:v>
                </c:pt>
                <c:pt idx="101">
                  <c:v>21.601941747572816</c:v>
                </c:pt>
                <c:pt idx="102">
                  <c:v>23.055555555555557</c:v>
                </c:pt>
                <c:pt idx="103">
                  <c:v>22.804532577903682</c:v>
                </c:pt>
                <c:pt idx="104">
                  <c:v>18.843283582089551</c:v>
                </c:pt>
                <c:pt idx="105">
                  <c:v>24.146341463414632</c:v>
                </c:pt>
                <c:pt idx="106">
                  <c:v>26.293995859213251</c:v>
                </c:pt>
                <c:pt idx="107">
                  <c:v>26.016260162601625</c:v>
                </c:pt>
                <c:pt idx="108">
                  <c:v>21.503131524008349</c:v>
                </c:pt>
                <c:pt idx="109">
                  <c:v>31.739961759082217</c:v>
                </c:pt>
                <c:pt idx="110">
                  <c:v>21.257142857142856</c:v>
                </c:pt>
                <c:pt idx="111">
                  <c:v>15.575221238938052</c:v>
                </c:pt>
                <c:pt idx="112">
                  <c:v>15.057113187954309</c:v>
                </c:pt>
                <c:pt idx="113">
                  <c:v>24.383916990920881</c:v>
                </c:pt>
                <c:pt idx="114">
                  <c:v>23.346828609986506</c:v>
                </c:pt>
                <c:pt idx="115">
                  <c:v>22.954725972994439</c:v>
                </c:pt>
                <c:pt idx="116">
                  <c:v>21.73274596182085</c:v>
                </c:pt>
                <c:pt idx="117">
                  <c:v>20.76923076923077</c:v>
                </c:pt>
                <c:pt idx="118">
                  <c:v>22.44039270687237</c:v>
                </c:pt>
                <c:pt idx="119">
                  <c:v>27.445652173913043</c:v>
                </c:pt>
                <c:pt idx="120">
                  <c:v>27.272727272727273</c:v>
                </c:pt>
                <c:pt idx="121">
                  <c:v>15.3125</c:v>
                </c:pt>
                <c:pt idx="122">
                  <c:v>23.211446740858506</c:v>
                </c:pt>
                <c:pt idx="123">
                  <c:v>23.317307692307693</c:v>
                </c:pt>
                <c:pt idx="124">
                  <c:v>23.655913978494624</c:v>
                </c:pt>
                <c:pt idx="125">
                  <c:v>24.137931034482758</c:v>
                </c:pt>
                <c:pt idx="126">
                  <c:v>32.056451612903224</c:v>
                </c:pt>
                <c:pt idx="127">
                  <c:v>24.740484429065745</c:v>
                </c:pt>
                <c:pt idx="128">
                  <c:v>27.016129032258064</c:v>
                </c:pt>
                <c:pt idx="129">
                  <c:v>33.03886925795053</c:v>
                </c:pt>
                <c:pt idx="130">
                  <c:v>30.198915009041592</c:v>
                </c:pt>
                <c:pt idx="131">
                  <c:v>16.817155756207676</c:v>
                </c:pt>
                <c:pt idx="132">
                  <c:v>13.888888888888889</c:v>
                </c:pt>
                <c:pt idx="133">
                  <c:v>15.258855585831062</c:v>
                </c:pt>
                <c:pt idx="134">
                  <c:v>20.825515947467167</c:v>
                </c:pt>
                <c:pt idx="135">
                  <c:v>13.125</c:v>
                </c:pt>
                <c:pt idx="136">
                  <c:v>24.615384615384617</c:v>
                </c:pt>
                <c:pt idx="137">
                  <c:v>28.785046728971963</c:v>
                </c:pt>
                <c:pt idx="138">
                  <c:v>23.834196891191709</c:v>
                </c:pt>
                <c:pt idx="139">
                  <c:v>30.852994555353902</c:v>
                </c:pt>
                <c:pt idx="140">
                  <c:v>26.80577849117175</c:v>
                </c:pt>
                <c:pt idx="141">
                  <c:v>27.698574338085539</c:v>
                </c:pt>
                <c:pt idx="142">
                  <c:v>30.019880715705764</c:v>
                </c:pt>
                <c:pt idx="143">
                  <c:v>22.841225626740947</c:v>
                </c:pt>
                <c:pt idx="144">
                  <c:v>24.369747899159663</c:v>
                </c:pt>
                <c:pt idx="145">
                  <c:v>30.555555555555557</c:v>
                </c:pt>
                <c:pt idx="146">
                  <c:v>18.725868725868725</c:v>
                </c:pt>
                <c:pt idx="147">
                  <c:v>16.528925619834709</c:v>
                </c:pt>
                <c:pt idx="148">
                  <c:v>16.402116402116402</c:v>
                </c:pt>
                <c:pt idx="149">
                  <c:v>18.941504178272982</c:v>
                </c:pt>
                <c:pt idx="150">
                  <c:v>15</c:v>
                </c:pt>
                <c:pt idx="151">
                  <c:v>18.929016189290163</c:v>
                </c:pt>
                <c:pt idx="152">
                  <c:v>9.1530054644808736</c:v>
                </c:pt>
                <c:pt idx="153">
                  <c:v>12.190812720848056</c:v>
                </c:pt>
                <c:pt idx="154">
                  <c:v>17.924528301886792</c:v>
                </c:pt>
                <c:pt idx="155">
                  <c:v>17.510853835021706</c:v>
                </c:pt>
                <c:pt idx="156">
                  <c:v>24.701195219123505</c:v>
                </c:pt>
              </c:numCache>
            </c:numRef>
          </c:yVal>
          <c:bubbleSize>
            <c:numRef>
              <c:f>'Мособлдума одномандатный №6'!$J$2:$J$183</c:f>
              <c:numCache>
                <c:formatCode>General</c:formatCode>
                <c:ptCount val="157"/>
                <c:pt idx="0">
                  <c:v>2451</c:v>
                </c:pt>
                <c:pt idx="1">
                  <c:v>1792</c:v>
                </c:pt>
                <c:pt idx="2">
                  <c:v>1987</c:v>
                </c:pt>
                <c:pt idx="3">
                  <c:v>2122</c:v>
                </c:pt>
                <c:pt idx="4">
                  <c:v>1909</c:v>
                </c:pt>
                <c:pt idx="5">
                  <c:v>1948</c:v>
                </c:pt>
                <c:pt idx="6">
                  <c:v>1966</c:v>
                </c:pt>
                <c:pt idx="7">
                  <c:v>1755</c:v>
                </c:pt>
                <c:pt idx="8">
                  <c:v>2053</c:v>
                </c:pt>
                <c:pt idx="9">
                  <c:v>2353</c:v>
                </c:pt>
                <c:pt idx="10">
                  <c:v>2236</c:v>
                </c:pt>
                <c:pt idx="11">
                  <c:v>878</c:v>
                </c:pt>
                <c:pt idx="12">
                  <c:v>1109</c:v>
                </c:pt>
                <c:pt idx="13">
                  <c:v>2346</c:v>
                </c:pt>
                <c:pt idx="14">
                  <c:v>1222</c:v>
                </c:pt>
                <c:pt idx="15">
                  <c:v>1986</c:v>
                </c:pt>
                <c:pt idx="16">
                  <c:v>377</c:v>
                </c:pt>
                <c:pt idx="17">
                  <c:v>1248</c:v>
                </c:pt>
                <c:pt idx="18">
                  <c:v>1716</c:v>
                </c:pt>
                <c:pt idx="19">
                  <c:v>2695</c:v>
                </c:pt>
                <c:pt idx="20">
                  <c:v>1800</c:v>
                </c:pt>
                <c:pt idx="21">
                  <c:v>2108</c:v>
                </c:pt>
                <c:pt idx="22">
                  <c:v>2215</c:v>
                </c:pt>
                <c:pt idx="23">
                  <c:v>2112</c:v>
                </c:pt>
                <c:pt idx="24">
                  <c:v>2268</c:v>
                </c:pt>
                <c:pt idx="25">
                  <c:v>2112</c:v>
                </c:pt>
                <c:pt idx="26">
                  <c:v>2579</c:v>
                </c:pt>
                <c:pt idx="27">
                  <c:v>1659</c:v>
                </c:pt>
                <c:pt idx="28">
                  <c:v>1947</c:v>
                </c:pt>
                <c:pt idx="29">
                  <c:v>857</c:v>
                </c:pt>
                <c:pt idx="30">
                  <c:v>1412</c:v>
                </c:pt>
                <c:pt idx="31">
                  <c:v>2047</c:v>
                </c:pt>
                <c:pt idx="32">
                  <c:v>536</c:v>
                </c:pt>
                <c:pt idx="33">
                  <c:v>1745</c:v>
                </c:pt>
                <c:pt idx="34">
                  <c:v>1453</c:v>
                </c:pt>
                <c:pt idx="35">
                  <c:v>1496</c:v>
                </c:pt>
                <c:pt idx="36">
                  <c:v>2669</c:v>
                </c:pt>
                <c:pt idx="37">
                  <c:v>2799</c:v>
                </c:pt>
                <c:pt idx="38">
                  <c:v>2544</c:v>
                </c:pt>
                <c:pt idx="39">
                  <c:v>1670</c:v>
                </c:pt>
                <c:pt idx="40">
                  <c:v>1891</c:v>
                </c:pt>
                <c:pt idx="41">
                  <c:v>1984</c:v>
                </c:pt>
                <c:pt idx="42">
                  <c:v>628</c:v>
                </c:pt>
                <c:pt idx="43">
                  <c:v>1469</c:v>
                </c:pt>
                <c:pt idx="44">
                  <c:v>2564</c:v>
                </c:pt>
                <c:pt idx="45">
                  <c:v>711</c:v>
                </c:pt>
                <c:pt idx="46">
                  <c:v>676</c:v>
                </c:pt>
                <c:pt idx="47">
                  <c:v>1747</c:v>
                </c:pt>
                <c:pt idx="48">
                  <c:v>1907</c:v>
                </c:pt>
                <c:pt idx="49">
                  <c:v>1194</c:v>
                </c:pt>
                <c:pt idx="50">
                  <c:v>1129</c:v>
                </c:pt>
                <c:pt idx="51">
                  <c:v>1498</c:v>
                </c:pt>
                <c:pt idx="52">
                  <c:v>1859</c:v>
                </c:pt>
                <c:pt idx="53">
                  <c:v>1315</c:v>
                </c:pt>
                <c:pt idx="54">
                  <c:v>1300</c:v>
                </c:pt>
                <c:pt idx="55">
                  <c:v>2038</c:v>
                </c:pt>
                <c:pt idx="56">
                  <c:v>1190</c:v>
                </c:pt>
                <c:pt idx="57">
                  <c:v>1521</c:v>
                </c:pt>
                <c:pt idx="58">
                  <c:v>710</c:v>
                </c:pt>
                <c:pt idx="59">
                  <c:v>1525</c:v>
                </c:pt>
                <c:pt idx="60">
                  <c:v>1495</c:v>
                </c:pt>
                <c:pt idx="61">
                  <c:v>1808</c:v>
                </c:pt>
                <c:pt idx="62">
                  <c:v>2012</c:v>
                </c:pt>
                <c:pt idx="63">
                  <c:v>1681</c:v>
                </c:pt>
                <c:pt idx="64">
                  <c:v>1685</c:v>
                </c:pt>
                <c:pt idx="65">
                  <c:v>1529</c:v>
                </c:pt>
                <c:pt idx="66">
                  <c:v>1800</c:v>
                </c:pt>
                <c:pt idx="67">
                  <c:v>1896</c:v>
                </c:pt>
                <c:pt idx="68">
                  <c:v>1963</c:v>
                </c:pt>
                <c:pt idx="69">
                  <c:v>1902</c:v>
                </c:pt>
                <c:pt idx="70">
                  <c:v>1647</c:v>
                </c:pt>
                <c:pt idx="71">
                  <c:v>1316</c:v>
                </c:pt>
                <c:pt idx="72">
                  <c:v>2387</c:v>
                </c:pt>
                <c:pt idx="73">
                  <c:v>1535</c:v>
                </c:pt>
                <c:pt idx="74">
                  <c:v>2645</c:v>
                </c:pt>
                <c:pt idx="75">
                  <c:v>2043</c:v>
                </c:pt>
                <c:pt idx="76">
                  <c:v>1990</c:v>
                </c:pt>
                <c:pt idx="77">
                  <c:v>988</c:v>
                </c:pt>
                <c:pt idx="78">
                  <c:v>89</c:v>
                </c:pt>
                <c:pt idx="79">
                  <c:v>83</c:v>
                </c:pt>
                <c:pt idx="80">
                  <c:v>1762</c:v>
                </c:pt>
                <c:pt idx="81">
                  <c:v>1063</c:v>
                </c:pt>
                <c:pt idx="82">
                  <c:v>2316</c:v>
                </c:pt>
                <c:pt idx="83">
                  <c:v>1250</c:v>
                </c:pt>
                <c:pt idx="84">
                  <c:v>1265</c:v>
                </c:pt>
                <c:pt idx="85">
                  <c:v>1736</c:v>
                </c:pt>
                <c:pt idx="86">
                  <c:v>2586</c:v>
                </c:pt>
                <c:pt idx="87">
                  <c:v>1243</c:v>
                </c:pt>
                <c:pt idx="88">
                  <c:v>1451</c:v>
                </c:pt>
                <c:pt idx="89">
                  <c:v>1179</c:v>
                </c:pt>
                <c:pt idx="90">
                  <c:v>2285</c:v>
                </c:pt>
                <c:pt idx="91">
                  <c:v>1678</c:v>
                </c:pt>
                <c:pt idx="92">
                  <c:v>2025</c:v>
                </c:pt>
                <c:pt idx="93">
                  <c:v>0</c:v>
                </c:pt>
                <c:pt idx="94">
                  <c:v>2430</c:v>
                </c:pt>
                <c:pt idx="95">
                  <c:v>2209</c:v>
                </c:pt>
                <c:pt idx="96">
                  <c:v>2330</c:v>
                </c:pt>
                <c:pt idx="97">
                  <c:v>2013</c:v>
                </c:pt>
                <c:pt idx="98">
                  <c:v>2023</c:v>
                </c:pt>
                <c:pt idx="99">
                  <c:v>2032</c:v>
                </c:pt>
                <c:pt idx="100">
                  <c:v>1759</c:v>
                </c:pt>
                <c:pt idx="101">
                  <c:v>2293</c:v>
                </c:pt>
                <c:pt idx="102">
                  <c:v>2176</c:v>
                </c:pt>
                <c:pt idx="103">
                  <c:v>1998</c:v>
                </c:pt>
                <c:pt idx="104">
                  <c:v>1307</c:v>
                </c:pt>
                <c:pt idx="105">
                  <c:v>1453</c:v>
                </c:pt>
                <c:pt idx="106">
                  <c:v>1542</c:v>
                </c:pt>
                <c:pt idx="107">
                  <c:v>1462</c:v>
                </c:pt>
                <c:pt idx="108">
                  <c:v>1433</c:v>
                </c:pt>
                <c:pt idx="109">
                  <c:v>1850</c:v>
                </c:pt>
                <c:pt idx="110">
                  <c:v>2111</c:v>
                </c:pt>
                <c:pt idx="111">
                  <c:v>1035</c:v>
                </c:pt>
                <c:pt idx="112">
                  <c:v>1915</c:v>
                </c:pt>
                <c:pt idx="113">
                  <c:v>2290</c:v>
                </c:pt>
                <c:pt idx="114">
                  <c:v>2251</c:v>
                </c:pt>
                <c:pt idx="115">
                  <c:v>1800</c:v>
                </c:pt>
                <c:pt idx="116">
                  <c:v>2162</c:v>
                </c:pt>
                <c:pt idx="117">
                  <c:v>2058</c:v>
                </c:pt>
                <c:pt idx="118">
                  <c:v>2109</c:v>
                </c:pt>
                <c:pt idx="119">
                  <c:v>1251</c:v>
                </c:pt>
                <c:pt idx="120">
                  <c:v>1278</c:v>
                </c:pt>
                <c:pt idx="121">
                  <c:v>981</c:v>
                </c:pt>
                <c:pt idx="122">
                  <c:v>1911</c:v>
                </c:pt>
                <c:pt idx="123">
                  <c:v>2296</c:v>
                </c:pt>
                <c:pt idx="124">
                  <c:v>2186</c:v>
                </c:pt>
                <c:pt idx="125">
                  <c:v>2642</c:v>
                </c:pt>
                <c:pt idx="126">
                  <c:v>1775</c:v>
                </c:pt>
                <c:pt idx="127">
                  <c:v>1894</c:v>
                </c:pt>
                <c:pt idx="128">
                  <c:v>2070</c:v>
                </c:pt>
                <c:pt idx="129">
                  <c:v>2196</c:v>
                </c:pt>
                <c:pt idx="130">
                  <c:v>2551</c:v>
                </c:pt>
                <c:pt idx="131">
                  <c:v>2922</c:v>
                </c:pt>
                <c:pt idx="132">
                  <c:v>752</c:v>
                </c:pt>
                <c:pt idx="133">
                  <c:v>793</c:v>
                </c:pt>
                <c:pt idx="134">
                  <c:v>1731</c:v>
                </c:pt>
                <c:pt idx="135">
                  <c:v>1086</c:v>
                </c:pt>
                <c:pt idx="136">
                  <c:v>3022</c:v>
                </c:pt>
                <c:pt idx="137">
                  <c:v>2514</c:v>
                </c:pt>
                <c:pt idx="138">
                  <c:v>2306</c:v>
                </c:pt>
                <c:pt idx="139">
                  <c:v>2212</c:v>
                </c:pt>
                <c:pt idx="140">
                  <c:v>2419</c:v>
                </c:pt>
                <c:pt idx="141">
                  <c:v>2132</c:v>
                </c:pt>
                <c:pt idx="142">
                  <c:v>2359</c:v>
                </c:pt>
                <c:pt idx="143">
                  <c:v>2958</c:v>
                </c:pt>
                <c:pt idx="144">
                  <c:v>749</c:v>
                </c:pt>
                <c:pt idx="145">
                  <c:v>2663</c:v>
                </c:pt>
                <c:pt idx="146">
                  <c:v>1277</c:v>
                </c:pt>
                <c:pt idx="147">
                  <c:v>1094</c:v>
                </c:pt>
                <c:pt idx="148">
                  <c:v>1232</c:v>
                </c:pt>
                <c:pt idx="149">
                  <c:v>1023</c:v>
                </c:pt>
                <c:pt idx="150">
                  <c:v>1695</c:v>
                </c:pt>
                <c:pt idx="151">
                  <c:v>1677</c:v>
                </c:pt>
                <c:pt idx="152">
                  <c:v>2354</c:v>
                </c:pt>
                <c:pt idx="153">
                  <c:v>1806</c:v>
                </c:pt>
                <c:pt idx="154">
                  <c:v>1294</c:v>
                </c:pt>
                <c:pt idx="155">
                  <c:v>1658</c:v>
                </c:pt>
                <c:pt idx="156">
                  <c:v>1068</c:v>
                </c:pt>
              </c:numCache>
            </c:numRef>
          </c:bubbleSize>
          <c:bubble3D val="0"/>
          <c:extLst>
            <c:ext xmlns:c16="http://schemas.microsoft.com/office/drawing/2014/chart" uri="{C3380CC4-5D6E-409C-BE32-E72D297353CC}">
              <c16:uniqueId val="{00000000-0635-4CC9-A990-39CC245ADBA1}"/>
            </c:ext>
          </c:extLst>
        </c:ser>
        <c:ser>
          <c:idx val="9"/>
          <c:order val="1"/>
          <c:tx>
            <c:strRef>
              <c:f>'Мособлдума одномандатный №6'!$AD$1</c:f>
              <c:strCache>
                <c:ptCount val="1"/>
                <c:pt idx="0">
                  <c:v>Горбанов (Экол. зеленые)</c:v>
                </c:pt>
              </c:strCache>
            </c:strRef>
          </c:tx>
          <c:spPr>
            <a:solidFill>
              <a:srgbClr val="66FF66">
                <a:alpha val="49804"/>
              </a:srgbClr>
            </a:solidFill>
            <a:ln w="25400"/>
          </c:spPr>
          <c:invertIfNegative val="0"/>
          <c:xVal>
            <c:numRef>
              <c:f>'Мособлдума одномандатный №6'!$O$2:$O$183</c:f>
              <c:numCache>
                <c:formatCode>0.0</c:formatCode>
                <c:ptCount val="157"/>
                <c:pt idx="0">
                  <c:v>65.116279069767444</c:v>
                </c:pt>
                <c:pt idx="1">
                  <c:v>53.515625</c:v>
                </c:pt>
                <c:pt idx="2">
                  <c:v>54.705586311021641</c:v>
                </c:pt>
                <c:pt idx="3">
                  <c:v>54.665409990574929</c:v>
                </c:pt>
                <c:pt idx="4">
                  <c:v>48.402304871660554</c:v>
                </c:pt>
                <c:pt idx="5">
                  <c:v>50.256673511293634</c:v>
                </c:pt>
                <c:pt idx="6">
                  <c:v>59.511698880976603</c:v>
                </c:pt>
                <c:pt idx="7">
                  <c:v>73.105413105413106</c:v>
                </c:pt>
                <c:pt idx="8">
                  <c:v>71.602532878714072</c:v>
                </c:pt>
                <c:pt idx="9">
                  <c:v>35.954101147471313</c:v>
                </c:pt>
                <c:pt idx="10">
                  <c:v>25.491949910554563</c:v>
                </c:pt>
                <c:pt idx="11">
                  <c:v>72.551252847380411</c:v>
                </c:pt>
                <c:pt idx="12">
                  <c:v>50.85662759242561</c:v>
                </c:pt>
                <c:pt idx="13">
                  <c:v>34.612105711849956</c:v>
                </c:pt>
                <c:pt idx="14">
                  <c:v>46.317512274959086</c:v>
                </c:pt>
                <c:pt idx="15">
                  <c:v>29.254783484390735</c:v>
                </c:pt>
                <c:pt idx="16">
                  <c:v>42.440318302387269</c:v>
                </c:pt>
                <c:pt idx="17">
                  <c:v>30.929487179487179</c:v>
                </c:pt>
                <c:pt idx="18">
                  <c:v>48.484848484848484</c:v>
                </c:pt>
                <c:pt idx="19">
                  <c:v>35.881261595547308</c:v>
                </c:pt>
                <c:pt idx="20">
                  <c:v>24.111111111111111</c:v>
                </c:pt>
                <c:pt idx="21">
                  <c:v>46.110056925996204</c:v>
                </c:pt>
                <c:pt idx="22">
                  <c:v>30.474040632054177</c:v>
                </c:pt>
                <c:pt idx="23">
                  <c:v>36.268939393939391</c:v>
                </c:pt>
                <c:pt idx="24">
                  <c:v>32.671957671957671</c:v>
                </c:pt>
                <c:pt idx="25">
                  <c:v>37.642045454545453</c:v>
                </c:pt>
                <c:pt idx="26">
                  <c:v>60.449786739046139</c:v>
                </c:pt>
                <c:pt idx="27">
                  <c:v>80.650994575045203</c:v>
                </c:pt>
                <c:pt idx="28">
                  <c:v>37.082691319979453</c:v>
                </c:pt>
                <c:pt idx="29">
                  <c:v>38.739789964994166</c:v>
                </c:pt>
                <c:pt idx="30">
                  <c:v>39.518413597733712</c:v>
                </c:pt>
                <c:pt idx="31">
                  <c:v>34.831460674157306</c:v>
                </c:pt>
                <c:pt idx="32">
                  <c:v>30.223880597014926</c:v>
                </c:pt>
                <c:pt idx="33">
                  <c:v>33.638968481375358</c:v>
                </c:pt>
                <c:pt idx="34">
                  <c:v>33.585684790089473</c:v>
                </c:pt>
                <c:pt idx="35">
                  <c:v>42.446524064171122</c:v>
                </c:pt>
                <c:pt idx="36">
                  <c:v>34.732109404271263</c:v>
                </c:pt>
                <c:pt idx="37">
                  <c:v>27.295462665237586</c:v>
                </c:pt>
                <c:pt idx="38">
                  <c:v>38.404088050314463</c:v>
                </c:pt>
                <c:pt idx="39">
                  <c:v>36.167664670658681</c:v>
                </c:pt>
                <c:pt idx="40">
                  <c:v>43.786356425171867</c:v>
                </c:pt>
                <c:pt idx="41">
                  <c:v>26.260080645161292</c:v>
                </c:pt>
                <c:pt idx="42">
                  <c:v>26.273885350318473</c:v>
                </c:pt>
                <c:pt idx="43">
                  <c:v>29.20353982300885</c:v>
                </c:pt>
                <c:pt idx="44">
                  <c:v>56.201248049922</c:v>
                </c:pt>
                <c:pt idx="45">
                  <c:v>64.135021097046419</c:v>
                </c:pt>
                <c:pt idx="46">
                  <c:v>50.591715976331358</c:v>
                </c:pt>
                <c:pt idx="47">
                  <c:v>43.617630223239843</c:v>
                </c:pt>
                <c:pt idx="48">
                  <c:v>52.123754588358679</c:v>
                </c:pt>
                <c:pt idx="49">
                  <c:v>37.353433835845898</c:v>
                </c:pt>
                <c:pt idx="50">
                  <c:v>40.566873339238263</c:v>
                </c:pt>
                <c:pt idx="51">
                  <c:v>39.118825100133513</c:v>
                </c:pt>
                <c:pt idx="52">
                  <c:v>20.602474448628296</c:v>
                </c:pt>
                <c:pt idx="53">
                  <c:v>33.231939163498097</c:v>
                </c:pt>
                <c:pt idx="54">
                  <c:v>48.615384615384613</c:v>
                </c:pt>
                <c:pt idx="55">
                  <c:v>53.189401373895976</c:v>
                </c:pt>
                <c:pt idx="56">
                  <c:v>58.823529411764703</c:v>
                </c:pt>
                <c:pt idx="57">
                  <c:v>48.980933596318209</c:v>
                </c:pt>
                <c:pt idx="58">
                  <c:v>40.422535211267608</c:v>
                </c:pt>
                <c:pt idx="59">
                  <c:v>50.819672131147541</c:v>
                </c:pt>
                <c:pt idx="60">
                  <c:v>39.598662207357862</c:v>
                </c:pt>
                <c:pt idx="61">
                  <c:v>50.497787610619469</c:v>
                </c:pt>
                <c:pt idx="62">
                  <c:v>44.234592445328033</c:v>
                </c:pt>
                <c:pt idx="63">
                  <c:v>40.035693039857229</c:v>
                </c:pt>
                <c:pt idx="64">
                  <c:v>38.27893175074184</c:v>
                </c:pt>
                <c:pt idx="65">
                  <c:v>43.427076520601702</c:v>
                </c:pt>
                <c:pt idx="66">
                  <c:v>35.166666666666664</c:v>
                </c:pt>
                <c:pt idx="67">
                  <c:v>36.234177215189874</c:v>
                </c:pt>
                <c:pt idx="68">
                  <c:v>43.453897096281203</c:v>
                </c:pt>
                <c:pt idx="69">
                  <c:v>48.370136698212406</c:v>
                </c:pt>
                <c:pt idx="70">
                  <c:v>50.819672131147541</c:v>
                </c:pt>
                <c:pt idx="71">
                  <c:v>53.723404255319146</c:v>
                </c:pt>
                <c:pt idx="72">
                  <c:v>47.549224968579807</c:v>
                </c:pt>
                <c:pt idx="73">
                  <c:v>52.247557003257327</c:v>
                </c:pt>
                <c:pt idx="74">
                  <c:v>31.077504725897921</c:v>
                </c:pt>
                <c:pt idx="75">
                  <c:v>33.969652471855113</c:v>
                </c:pt>
                <c:pt idx="76">
                  <c:v>52.412060301507537</c:v>
                </c:pt>
                <c:pt idx="77">
                  <c:v>54.251012145748987</c:v>
                </c:pt>
                <c:pt idx="78">
                  <c:v>100</c:v>
                </c:pt>
                <c:pt idx="79">
                  <c:v>67.46987951807229</c:v>
                </c:pt>
                <c:pt idx="80">
                  <c:v>44.665153234960272</c:v>
                </c:pt>
                <c:pt idx="81">
                  <c:v>34.619002822201317</c:v>
                </c:pt>
                <c:pt idx="82">
                  <c:v>35.362694300518136</c:v>
                </c:pt>
                <c:pt idx="83">
                  <c:v>39.04</c:v>
                </c:pt>
                <c:pt idx="84">
                  <c:v>35.573122529644266</c:v>
                </c:pt>
                <c:pt idx="85">
                  <c:v>43.721198156682028</c:v>
                </c:pt>
                <c:pt idx="86">
                  <c:v>38.940448569218873</c:v>
                </c:pt>
                <c:pt idx="87">
                  <c:v>38.696701528559935</c:v>
                </c:pt>
                <c:pt idx="88">
                  <c:v>40.17918676774638</c:v>
                </c:pt>
                <c:pt idx="89">
                  <c:v>36.810856658184903</c:v>
                </c:pt>
                <c:pt idx="90">
                  <c:v>34.310722100656456</c:v>
                </c:pt>
                <c:pt idx="91">
                  <c:v>44.636471990464841</c:v>
                </c:pt>
                <c:pt idx="92">
                  <c:v>34.172839506172842</c:v>
                </c:pt>
                <c:pt idx="93">
                  <c:v>0</c:v>
                </c:pt>
                <c:pt idx="94">
                  <c:v>38.10699588477366</c:v>
                </c:pt>
                <c:pt idx="95">
                  <c:v>30.737890448166592</c:v>
                </c:pt>
                <c:pt idx="96">
                  <c:v>52.017167381974247</c:v>
                </c:pt>
                <c:pt idx="97">
                  <c:v>34.624937903626432</c:v>
                </c:pt>
                <c:pt idx="98">
                  <c:v>35.096391497775578</c:v>
                </c:pt>
                <c:pt idx="99">
                  <c:v>42.716535433070867</c:v>
                </c:pt>
                <c:pt idx="100">
                  <c:v>39.681637293916999</c:v>
                </c:pt>
                <c:pt idx="101">
                  <c:v>35.935455734845178</c:v>
                </c:pt>
                <c:pt idx="102">
                  <c:v>33.088235294117645</c:v>
                </c:pt>
                <c:pt idx="103">
                  <c:v>35.335335335335337</c:v>
                </c:pt>
                <c:pt idx="104">
                  <c:v>41.009946442234124</c:v>
                </c:pt>
                <c:pt idx="105">
                  <c:v>70.199587061252586</c:v>
                </c:pt>
                <c:pt idx="106">
                  <c:v>31.322957198443579</c:v>
                </c:pt>
                <c:pt idx="107">
                  <c:v>33.652530779753761</c:v>
                </c:pt>
                <c:pt idx="108">
                  <c:v>33.426378227494766</c:v>
                </c:pt>
                <c:pt idx="109">
                  <c:v>28.27027027027027</c:v>
                </c:pt>
                <c:pt idx="110">
                  <c:v>41.449549976314543</c:v>
                </c:pt>
                <c:pt idx="111">
                  <c:v>54.589371980676326</c:v>
                </c:pt>
                <c:pt idx="112">
                  <c:v>50.391644908616186</c:v>
                </c:pt>
                <c:pt idx="113">
                  <c:v>34.235807860262007</c:v>
                </c:pt>
                <c:pt idx="114">
                  <c:v>32.918702798756108</c:v>
                </c:pt>
                <c:pt idx="115">
                  <c:v>69.944444444444443</c:v>
                </c:pt>
                <c:pt idx="116">
                  <c:v>31.498612395929694</c:v>
                </c:pt>
                <c:pt idx="117">
                  <c:v>39.067055393586003</c:v>
                </c:pt>
                <c:pt idx="118">
                  <c:v>35.846372688477949</c:v>
                </c:pt>
                <c:pt idx="119">
                  <c:v>29.496402877697843</c:v>
                </c:pt>
                <c:pt idx="120">
                  <c:v>36.15023474178404</c:v>
                </c:pt>
                <c:pt idx="121">
                  <c:v>32.619775739041792</c:v>
                </c:pt>
                <c:pt idx="122">
                  <c:v>32.914704343275773</c:v>
                </c:pt>
                <c:pt idx="123">
                  <c:v>36.454703832752614</c:v>
                </c:pt>
                <c:pt idx="124">
                  <c:v>38.655077767612077</c:v>
                </c:pt>
                <c:pt idx="125">
                  <c:v>26.343679031037095</c:v>
                </c:pt>
                <c:pt idx="126">
                  <c:v>27.943661971830984</c:v>
                </c:pt>
                <c:pt idx="127">
                  <c:v>30.517423442449843</c:v>
                </c:pt>
                <c:pt idx="128">
                  <c:v>24.2512077294686</c:v>
                </c:pt>
                <c:pt idx="129">
                  <c:v>25.774134790528233</c:v>
                </c:pt>
                <c:pt idx="130">
                  <c:v>21.677773422187379</c:v>
                </c:pt>
                <c:pt idx="131">
                  <c:v>30.321697467488022</c:v>
                </c:pt>
                <c:pt idx="132">
                  <c:v>53.324468085106382</c:v>
                </c:pt>
                <c:pt idx="133">
                  <c:v>50.189155107187894</c:v>
                </c:pt>
                <c:pt idx="134">
                  <c:v>31.195840554592721</c:v>
                </c:pt>
                <c:pt idx="135">
                  <c:v>44.290976058931861</c:v>
                </c:pt>
                <c:pt idx="136">
                  <c:v>25.843812045003308</c:v>
                </c:pt>
                <c:pt idx="137">
                  <c:v>21.28082736674622</c:v>
                </c:pt>
                <c:pt idx="138">
                  <c:v>25.108412836079793</c:v>
                </c:pt>
                <c:pt idx="139">
                  <c:v>25.090415913200722</c:v>
                </c:pt>
                <c:pt idx="140">
                  <c:v>25.754443985117817</c:v>
                </c:pt>
                <c:pt idx="141">
                  <c:v>23.076923076923077</c:v>
                </c:pt>
                <c:pt idx="142">
                  <c:v>21.449766850360323</c:v>
                </c:pt>
                <c:pt idx="143">
                  <c:v>24.273157538877619</c:v>
                </c:pt>
                <c:pt idx="144">
                  <c:v>16.688918558077436</c:v>
                </c:pt>
                <c:pt idx="145">
                  <c:v>20.277882087870822</c:v>
                </c:pt>
                <c:pt idx="146">
                  <c:v>40.563821456538761</c:v>
                </c:pt>
                <c:pt idx="147">
                  <c:v>33.180987202925046</c:v>
                </c:pt>
                <c:pt idx="148">
                  <c:v>30.681818181818183</c:v>
                </c:pt>
                <c:pt idx="149">
                  <c:v>35.09286412512219</c:v>
                </c:pt>
                <c:pt idx="150">
                  <c:v>36.991150442477874</c:v>
                </c:pt>
                <c:pt idx="151">
                  <c:v>47.942754919499109</c:v>
                </c:pt>
                <c:pt idx="152">
                  <c:v>62.192013593882756</c:v>
                </c:pt>
                <c:pt idx="153">
                  <c:v>31.339977851605759</c:v>
                </c:pt>
                <c:pt idx="154">
                  <c:v>40.958268933539415</c:v>
                </c:pt>
                <c:pt idx="155">
                  <c:v>41.6767189384801</c:v>
                </c:pt>
                <c:pt idx="156">
                  <c:v>23.50187265917603</c:v>
                </c:pt>
              </c:numCache>
            </c:numRef>
          </c:xVal>
          <c:yVal>
            <c:numRef>
              <c:f>'Мособлдума одномандатный №6'!$AD$2:$AD$183</c:f>
              <c:numCache>
                <c:formatCode>0.0</c:formatCode>
                <c:ptCount val="157"/>
                <c:pt idx="0">
                  <c:v>4.8245614035087723</c:v>
                </c:pt>
                <c:pt idx="1">
                  <c:v>3.8662486938349008</c:v>
                </c:pt>
                <c:pt idx="2">
                  <c:v>1.5697137580794089</c:v>
                </c:pt>
                <c:pt idx="3">
                  <c:v>5.4498269896193774</c:v>
                </c:pt>
                <c:pt idx="4">
                  <c:v>4.2716319824753564</c:v>
                </c:pt>
                <c:pt idx="5">
                  <c:v>3.7793667007150153</c:v>
                </c:pt>
                <c:pt idx="6">
                  <c:v>4.7863247863247862</c:v>
                </c:pt>
                <c:pt idx="7">
                  <c:v>2.7386541471048513</c:v>
                </c:pt>
                <c:pt idx="8">
                  <c:v>2.5850340136054424</c:v>
                </c:pt>
                <c:pt idx="9">
                  <c:v>3.5714285714285716</c:v>
                </c:pt>
                <c:pt idx="10">
                  <c:v>2.807017543859649</c:v>
                </c:pt>
                <c:pt idx="11">
                  <c:v>2.197802197802198</c:v>
                </c:pt>
                <c:pt idx="12">
                  <c:v>5.4964539007092199</c:v>
                </c:pt>
                <c:pt idx="13">
                  <c:v>3.8177339901477834</c:v>
                </c:pt>
                <c:pt idx="14">
                  <c:v>3.3568904593639575</c:v>
                </c:pt>
                <c:pt idx="15">
                  <c:v>4.4750430292598971</c:v>
                </c:pt>
                <c:pt idx="16">
                  <c:v>5</c:v>
                </c:pt>
                <c:pt idx="17">
                  <c:v>6.5789473684210522</c:v>
                </c:pt>
                <c:pt idx="18">
                  <c:v>1.9230769230769231</c:v>
                </c:pt>
                <c:pt idx="19">
                  <c:v>4.3568464730290453</c:v>
                </c:pt>
                <c:pt idx="20">
                  <c:v>5.9907834101382491</c:v>
                </c:pt>
                <c:pt idx="21">
                  <c:v>3.4979423868312756</c:v>
                </c:pt>
                <c:pt idx="22">
                  <c:v>4.1543026706231458</c:v>
                </c:pt>
                <c:pt idx="23">
                  <c:v>3.9164490861618799</c:v>
                </c:pt>
                <c:pt idx="24">
                  <c:v>4.1547277936962752</c:v>
                </c:pt>
                <c:pt idx="25">
                  <c:v>2.8930817610062891</c:v>
                </c:pt>
                <c:pt idx="26">
                  <c:v>2.6940346375881976</c:v>
                </c:pt>
                <c:pt idx="27">
                  <c:v>2.9895366218236172</c:v>
                </c:pt>
                <c:pt idx="28">
                  <c:v>2.770083102493075</c:v>
                </c:pt>
                <c:pt idx="29">
                  <c:v>2.4096385542168677</c:v>
                </c:pt>
                <c:pt idx="30">
                  <c:v>4.6594982078853047</c:v>
                </c:pt>
                <c:pt idx="31">
                  <c:v>3.9603960396039604</c:v>
                </c:pt>
                <c:pt idx="32">
                  <c:v>6.7901234567901234</c:v>
                </c:pt>
                <c:pt idx="33">
                  <c:v>3.5836177474402731</c:v>
                </c:pt>
                <c:pt idx="34">
                  <c:v>4.3032786885245899</c:v>
                </c:pt>
                <c:pt idx="35">
                  <c:v>3.1496062992125986</c:v>
                </c:pt>
                <c:pt idx="36">
                  <c:v>3.5598705501618122</c:v>
                </c:pt>
                <c:pt idx="37">
                  <c:v>2.6178010471204187</c:v>
                </c:pt>
                <c:pt idx="38">
                  <c:v>3.0706243602865917</c:v>
                </c:pt>
                <c:pt idx="39">
                  <c:v>6.1258278145695364</c:v>
                </c:pt>
                <c:pt idx="40">
                  <c:v>5.1932367149758454</c:v>
                </c:pt>
                <c:pt idx="41">
                  <c:v>4.6065259117082533</c:v>
                </c:pt>
                <c:pt idx="42">
                  <c:v>4.2424242424242422</c:v>
                </c:pt>
                <c:pt idx="43">
                  <c:v>3.0303030303030303</c:v>
                </c:pt>
                <c:pt idx="44">
                  <c:v>3.8167938931297711</c:v>
                </c:pt>
                <c:pt idx="45">
                  <c:v>3.5087719298245612</c:v>
                </c:pt>
                <c:pt idx="46">
                  <c:v>5.8479532163742691</c:v>
                </c:pt>
                <c:pt idx="47">
                  <c:v>2.8871391076115485</c:v>
                </c:pt>
                <c:pt idx="48">
                  <c:v>4.8289738430583498</c:v>
                </c:pt>
                <c:pt idx="49">
                  <c:v>3.8186157517899759</c:v>
                </c:pt>
                <c:pt idx="50">
                  <c:v>3.9387308533916849</c:v>
                </c:pt>
                <c:pt idx="51">
                  <c:v>3.5026269702276709</c:v>
                </c:pt>
                <c:pt idx="52">
                  <c:v>3.3942558746736293</c:v>
                </c:pt>
                <c:pt idx="53">
                  <c:v>5.5045871559633026</c:v>
                </c:pt>
                <c:pt idx="54">
                  <c:v>3.1645569620253164</c:v>
                </c:pt>
                <c:pt idx="55">
                  <c:v>2.6752767527675276</c:v>
                </c:pt>
                <c:pt idx="56">
                  <c:v>3.2573289902280131</c:v>
                </c:pt>
                <c:pt idx="57">
                  <c:v>4.4295302013422821</c:v>
                </c:pt>
                <c:pt idx="58">
                  <c:v>4.895104895104895</c:v>
                </c:pt>
                <c:pt idx="59">
                  <c:v>4.5161290322580649</c:v>
                </c:pt>
                <c:pt idx="60">
                  <c:v>5.5743243243243246</c:v>
                </c:pt>
                <c:pt idx="61">
                  <c:v>7.4561403508771926</c:v>
                </c:pt>
                <c:pt idx="62">
                  <c:v>5.0574712643678161</c:v>
                </c:pt>
                <c:pt idx="63">
                  <c:v>6.4275037369207775</c:v>
                </c:pt>
                <c:pt idx="64">
                  <c:v>5.2713178294573639</c:v>
                </c:pt>
                <c:pt idx="65">
                  <c:v>3.463855421686747</c:v>
                </c:pt>
                <c:pt idx="66">
                  <c:v>3.9494470774091628</c:v>
                </c:pt>
                <c:pt idx="67">
                  <c:v>4.3818466353677623</c:v>
                </c:pt>
                <c:pt idx="68">
                  <c:v>2.2274325908558033</c:v>
                </c:pt>
                <c:pt idx="69">
                  <c:v>3.8043478260869565</c:v>
                </c:pt>
                <c:pt idx="70">
                  <c:v>3.5842293906810037</c:v>
                </c:pt>
                <c:pt idx="71">
                  <c:v>2.2630834512022631</c:v>
                </c:pt>
                <c:pt idx="72">
                  <c:v>2.9074889867841409</c:v>
                </c:pt>
                <c:pt idx="73">
                  <c:v>1.3715710723192021</c:v>
                </c:pt>
                <c:pt idx="74">
                  <c:v>4.6228710462287106</c:v>
                </c:pt>
                <c:pt idx="75">
                  <c:v>5.6195965417867439</c:v>
                </c:pt>
                <c:pt idx="76">
                  <c:v>4.8913043478260869</c:v>
                </c:pt>
                <c:pt idx="77">
                  <c:v>3.4090909090909092</c:v>
                </c:pt>
                <c:pt idx="78">
                  <c:v>1.1235955056179776</c:v>
                </c:pt>
                <c:pt idx="79">
                  <c:v>3.5714285714285716</c:v>
                </c:pt>
                <c:pt idx="80">
                  <c:v>3.4307496823379924</c:v>
                </c:pt>
                <c:pt idx="81">
                  <c:v>4.0760869565217392</c:v>
                </c:pt>
                <c:pt idx="82">
                  <c:v>3.785103785103785</c:v>
                </c:pt>
                <c:pt idx="83">
                  <c:v>3.9094650205761319</c:v>
                </c:pt>
                <c:pt idx="84">
                  <c:v>5.1111111111111107</c:v>
                </c:pt>
                <c:pt idx="85">
                  <c:v>3.9617486338797816</c:v>
                </c:pt>
                <c:pt idx="86">
                  <c:v>3.8622129436325681</c:v>
                </c:pt>
                <c:pt idx="87">
                  <c:v>2.9411764705882355</c:v>
                </c:pt>
                <c:pt idx="88">
                  <c:v>3.6020583190394513</c:v>
                </c:pt>
                <c:pt idx="89">
                  <c:v>2.9953917050691246</c:v>
                </c:pt>
                <c:pt idx="90">
                  <c:v>4.2091836734693882</c:v>
                </c:pt>
                <c:pt idx="91">
                  <c:v>2.496532593619972</c:v>
                </c:pt>
                <c:pt idx="92">
                  <c:v>3.7572254335260116</c:v>
                </c:pt>
                <c:pt idx="93">
                  <c:v>0</c:v>
                </c:pt>
                <c:pt idx="94">
                  <c:v>4.1081081081081079</c:v>
                </c:pt>
                <c:pt idx="95">
                  <c:v>3.9764359351988219</c:v>
                </c:pt>
                <c:pt idx="96">
                  <c:v>4.1254125412541258</c:v>
                </c:pt>
                <c:pt idx="97">
                  <c:v>3.1531531531531534</c:v>
                </c:pt>
                <c:pt idx="98">
                  <c:v>2.9829545454545454</c:v>
                </c:pt>
                <c:pt idx="99">
                  <c:v>3.2869785082174463</c:v>
                </c:pt>
                <c:pt idx="100">
                  <c:v>4.0229885057471266</c:v>
                </c:pt>
                <c:pt idx="101">
                  <c:v>5.7038834951456314</c:v>
                </c:pt>
                <c:pt idx="102">
                  <c:v>3.75</c:v>
                </c:pt>
                <c:pt idx="103">
                  <c:v>4.2492917847025495</c:v>
                </c:pt>
                <c:pt idx="104">
                  <c:v>5.2238805970149258</c:v>
                </c:pt>
                <c:pt idx="105">
                  <c:v>6.5853658536585362</c:v>
                </c:pt>
                <c:pt idx="106">
                  <c:v>2.691511387163561</c:v>
                </c:pt>
                <c:pt idx="107">
                  <c:v>6.3008130081300813</c:v>
                </c:pt>
                <c:pt idx="108">
                  <c:v>3.3402922755741127</c:v>
                </c:pt>
                <c:pt idx="109">
                  <c:v>2.8680688336520075</c:v>
                </c:pt>
                <c:pt idx="110">
                  <c:v>4.8</c:v>
                </c:pt>
                <c:pt idx="111">
                  <c:v>3.8938053097345131</c:v>
                </c:pt>
                <c:pt idx="112">
                  <c:v>2.1806853582554515</c:v>
                </c:pt>
                <c:pt idx="113">
                  <c:v>3.5019455252918288</c:v>
                </c:pt>
                <c:pt idx="114">
                  <c:v>7.0175438596491224</c:v>
                </c:pt>
                <c:pt idx="115">
                  <c:v>1.9857029388403495</c:v>
                </c:pt>
                <c:pt idx="116">
                  <c:v>4.9926578560939792</c:v>
                </c:pt>
                <c:pt idx="117">
                  <c:v>3.9743589743589745</c:v>
                </c:pt>
                <c:pt idx="118">
                  <c:v>4.4880785413744739</c:v>
                </c:pt>
                <c:pt idx="119">
                  <c:v>3.5326086956521738</c:v>
                </c:pt>
                <c:pt idx="120">
                  <c:v>4.9783549783549788</c:v>
                </c:pt>
                <c:pt idx="121">
                  <c:v>4.0625</c:v>
                </c:pt>
                <c:pt idx="122">
                  <c:v>5.0874403815580287</c:v>
                </c:pt>
                <c:pt idx="123">
                  <c:v>3.8461538461538463</c:v>
                </c:pt>
                <c:pt idx="124">
                  <c:v>4.0621266427718039</c:v>
                </c:pt>
                <c:pt idx="125">
                  <c:v>4.7413793103448274</c:v>
                </c:pt>
                <c:pt idx="126">
                  <c:v>3.629032258064516</c:v>
                </c:pt>
                <c:pt idx="127">
                  <c:v>5.0173010380622838</c:v>
                </c:pt>
                <c:pt idx="128">
                  <c:v>3.629032258064516</c:v>
                </c:pt>
                <c:pt idx="129">
                  <c:v>3.8869257950530036</c:v>
                </c:pt>
                <c:pt idx="130">
                  <c:v>2.8933092224231465</c:v>
                </c:pt>
                <c:pt idx="131">
                  <c:v>3.386004514672686</c:v>
                </c:pt>
                <c:pt idx="132">
                  <c:v>1.5151515151515151</c:v>
                </c:pt>
                <c:pt idx="133">
                  <c:v>7.3569482288828336</c:v>
                </c:pt>
                <c:pt idx="134">
                  <c:v>4.1275797373358349</c:v>
                </c:pt>
                <c:pt idx="135">
                  <c:v>2.0833333333333335</c:v>
                </c:pt>
                <c:pt idx="136">
                  <c:v>6.2820512820512819</c:v>
                </c:pt>
                <c:pt idx="137">
                  <c:v>4.6728971962616823</c:v>
                </c:pt>
                <c:pt idx="138">
                  <c:v>6.2176165803108807</c:v>
                </c:pt>
                <c:pt idx="139">
                  <c:v>5.4446460980036298</c:v>
                </c:pt>
                <c:pt idx="140">
                  <c:v>4.815409309791332</c:v>
                </c:pt>
                <c:pt idx="141">
                  <c:v>6.1099796334012222</c:v>
                </c:pt>
                <c:pt idx="142">
                  <c:v>3.7773359840954273</c:v>
                </c:pt>
                <c:pt idx="143">
                  <c:v>4.5961002785515319</c:v>
                </c:pt>
                <c:pt idx="144">
                  <c:v>2.5210084033613445</c:v>
                </c:pt>
                <c:pt idx="145">
                  <c:v>5.9259259259259256</c:v>
                </c:pt>
                <c:pt idx="146">
                  <c:v>4.8262548262548259</c:v>
                </c:pt>
                <c:pt idx="147">
                  <c:v>3.3057851239669422</c:v>
                </c:pt>
                <c:pt idx="148">
                  <c:v>5.8201058201058204</c:v>
                </c:pt>
                <c:pt idx="149">
                  <c:v>7.7994428969359335</c:v>
                </c:pt>
                <c:pt idx="150">
                  <c:v>3.75</c:v>
                </c:pt>
                <c:pt idx="151">
                  <c:v>3.6114570361145701</c:v>
                </c:pt>
                <c:pt idx="152">
                  <c:v>1.639344262295082</c:v>
                </c:pt>
                <c:pt idx="153">
                  <c:v>5.1236749116607774</c:v>
                </c:pt>
                <c:pt idx="154">
                  <c:v>4.1509433962264151</c:v>
                </c:pt>
                <c:pt idx="155">
                  <c:v>3.1837916063675831</c:v>
                </c:pt>
                <c:pt idx="156">
                  <c:v>4.7808764940239046</c:v>
                </c:pt>
              </c:numCache>
            </c:numRef>
          </c:yVal>
          <c:bubbleSize>
            <c:numRef>
              <c:f>'Мособлдума одномандатный №6'!$J$2:$J$183</c:f>
              <c:numCache>
                <c:formatCode>General</c:formatCode>
                <c:ptCount val="157"/>
                <c:pt idx="0">
                  <c:v>2451</c:v>
                </c:pt>
                <c:pt idx="1">
                  <c:v>1792</c:v>
                </c:pt>
                <c:pt idx="2">
                  <c:v>1987</c:v>
                </c:pt>
                <c:pt idx="3">
                  <c:v>2122</c:v>
                </c:pt>
                <c:pt idx="4">
                  <c:v>1909</c:v>
                </c:pt>
                <c:pt idx="5">
                  <c:v>1948</c:v>
                </c:pt>
                <c:pt idx="6">
                  <c:v>1966</c:v>
                </c:pt>
                <c:pt idx="7">
                  <c:v>1755</c:v>
                </c:pt>
                <c:pt idx="8">
                  <c:v>2053</c:v>
                </c:pt>
                <c:pt idx="9">
                  <c:v>2353</c:v>
                </c:pt>
                <c:pt idx="10">
                  <c:v>2236</c:v>
                </c:pt>
                <c:pt idx="11">
                  <c:v>878</c:v>
                </c:pt>
                <c:pt idx="12">
                  <c:v>1109</c:v>
                </c:pt>
                <c:pt idx="13">
                  <c:v>2346</c:v>
                </c:pt>
                <c:pt idx="14">
                  <c:v>1222</c:v>
                </c:pt>
                <c:pt idx="15">
                  <c:v>1986</c:v>
                </c:pt>
                <c:pt idx="16">
                  <c:v>377</c:v>
                </c:pt>
                <c:pt idx="17">
                  <c:v>1248</c:v>
                </c:pt>
                <c:pt idx="18">
                  <c:v>1716</c:v>
                </c:pt>
                <c:pt idx="19">
                  <c:v>2695</c:v>
                </c:pt>
                <c:pt idx="20">
                  <c:v>1800</c:v>
                </c:pt>
                <c:pt idx="21">
                  <c:v>2108</c:v>
                </c:pt>
                <c:pt idx="22">
                  <c:v>2215</c:v>
                </c:pt>
                <c:pt idx="23">
                  <c:v>2112</c:v>
                </c:pt>
                <c:pt idx="24">
                  <c:v>2268</c:v>
                </c:pt>
                <c:pt idx="25">
                  <c:v>2112</c:v>
                </c:pt>
                <c:pt idx="26">
                  <c:v>2579</c:v>
                </c:pt>
                <c:pt idx="27">
                  <c:v>1659</c:v>
                </c:pt>
                <c:pt idx="28">
                  <c:v>1947</c:v>
                </c:pt>
                <c:pt idx="29">
                  <c:v>857</c:v>
                </c:pt>
                <c:pt idx="30">
                  <c:v>1412</c:v>
                </c:pt>
                <c:pt idx="31">
                  <c:v>2047</c:v>
                </c:pt>
                <c:pt idx="32">
                  <c:v>536</c:v>
                </c:pt>
                <c:pt idx="33">
                  <c:v>1745</c:v>
                </c:pt>
                <c:pt idx="34">
                  <c:v>1453</c:v>
                </c:pt>
                <c:pt idx="35">
                  <c:v>1496</c:v>
                </c:pt>
                <c:pt idx="36">
                  <c:v>2669</c:v>
                </c:pt>
                <c:pt idx="37">
                  <c:v>2799</c:v>
                </c:pt>
                <c:pt idx="38">
                  <c:v>2544</c:v>
                </c:pt>
                <c:pt idx="39">
                  <c:v>1670</c:v>
                </c:pt>
                <c:pt idx="40">
                  <c:v>1891</c:v>
                </c:pt>
                <c:pt idx="41">
                  <c:v>1984</c:v>
                </c:pt>
                <c:pt idx="42">
                  <c:v>628</c:v>
                </c:pt>
                <c:pt idx="43">
                  <c:v>1469</c:v>
                </c:pt>
                <c:pt idx="44">
                  <c:v>2564</c:v>
                </c:pt>
                <c:pt idx="45">
                  <c:v>711</c:v>
                </c:pt>
                <c:pt idx="46">
                  <c:v>676</c:v>
                </c:pt>
                <c:pt idx="47">
                  <c:v>1747</c:v>
                </c:pt>
                <c:pt idx="48">
                  <c:v>1907</c:v>
                </c:pt>
                <c:pt idx="49">
                  <c:v>1194</c:v>
                </c:pt>
                <c:pt idx="50">
                  <c:v>1129</c:v>
                </c:pt>
                <c:pt idx="51">
                  <c:v>1498</c:v>
                </c:pt>
                <c:pt idx="52">
                  <c:v>1859</c:v>
                </c:pt>
                <c:pt idx="53">
                  <c:v>1315</c:v>
                </c:pt>
                <c:pt idx="54">
                  <c:v>1300</c:v>
                </c:pt>
                <c:pt idx="55">
                  <c:v>2038</c:v>
                </c:pt>
                <c:pt idx="56">
                  <c:v>1190</c:v>
                </c:pt>
                <c:pt idx="57">
                  <c:v>1521</c:v>
                </c:pt>
                <c:pt idx="58">
                  <c:v>710</c:v>
                </c:pt>
                <c:pt idx="59">
                  <c:v>1525</c:v>
                </c:pt>
                <c:pt idx="60">
                  <c:v>1495</c:v>
                </c:pt>
                <c:pt idx="61">
                  <c:v>1808</c:v>
                </c:pt>
                <c:pt idx="62">
                  <c:v>2012</c:v>
                </c:pt>
                <c:pt idx="63">
                  <c:v>1681</c:v>
                </c:pt>
                <c:pt idx="64">
                  <c:v>1685</c:v>
                </c:pt>
                <c:pt idx="65">
                  <c:v>1529</c:v>
                </c:pt>
                <c:pt idx="66">
                  <c:v>1800</c:v>
                </c:pt>
                <c:pt idx="67">
                  <c:v>1896</c:v>
                </c:pt>
                <c:pt idx="68">
                  <c:v>1963</c:v>
                </c:pt>
                <c:pt idx="69">
                  <c:v>1902</c:v>
                </c:pt>
                <c:pt idx="70">
                  <c:v>1647</c:v>
                </c:pt>
                <c:pt idx="71">
                  <c:v>1316</c:v>
                </c:pt>
                <c:pt idx="72">
                  <c:v>2387</c:v>
                </c:pt>
                <c:pt idx="73">
                  <c:v>1535</c:v>
                </c:pt>
                <c:pt idx="74">
                  <c:v>2645</c:v>
                </c:pt>
                <c:pt idx="75">
                  <c:v>2043</c:v>
                </c:pt>
                <c:pt idx="76">
                  <c:v>1990</c:v>
                </c:pt>
                <c:pt idx="77">
                  <c:v>988</c:v>
                </c:pt>
                <c:pt idx="78">
                  <c:v>89</c:v>
                </c:pt>
                <c:pt idx="79">
                  <c:v>83</c:v>
                </c:pt>
                <c:pt idx="80">
                  <c:v>1762</c:v>
                </c:pt>
                <c:pt idx="81">
                  <c:v>1063</c:v>
                </c:pt>
                <c:pt idx="82">
                  <c:v>2316</c:v>
                </c:pt>
                <c:pt idx="83">
                  <c:v>1250</c:v>
                </c:pt>
                <c:pt idx="84">
                  <c:v>1265</c:v>
                </c:pt>
                <c:pt idx="85">
                  <c:v>1736</c:v>
                </c:pt>
                <c:pt idx="86">
                  <c:v>2586</c:v>
                </c:pt>
                <c:pt idx="87">
                  <c:v>1243</c:v>
                </c:pt>
                <c:pt idx="88">
                  <c:v>1451</c:v>
                </c:pt>
                <c:pt idx="89">
                  <c:v>1179</c:v>
                </c:pt>
                <c:pt idx="90">
                  <c:v>2285</c:v>
                </c:pt>
                <c:pt idx="91">
                  <c:v>1678</c:v>
                </c:pt>
                <c:pt idx="92">
                  <c:v>2025</c:v>
                </c:pt>
                <c:pt idx="93">
                  <c:v>0</c:v>
                </c:pt>
                <c:pt idx="94">
                  <c:v>2430</c:v>
                </c:pt>
                <c:pt idx="95">
                  <c:v>2209</c:v>
                </c:pt>
                <c:pt idx="96">
                  <c:v>2330</c:v>
                </c:pt>
                <c:pt idx="97">
                  <c:v>2013</c:v>
                </c:pt>
                <c:pt idx="98">
                  <c:v>2023</c:v>
                </c:pt>
                <c:pt idx="99">
                  <c:v>2032</c:v>
                </c:pt>
                <c:pt idx="100">
                  <c:v>1759</c:v>
                </c:pt>
                <c:pt idx="101">
                  <c:v>2293</c:v>
                </c:pt>
                <c:pt idx="102">
                  <c:v>2176</c:v>
                </c:pt>
                <c:pt idx="103">
                  <c:v>1998</c:v>
                </c:pt>
                <c:pt idx="104">
                  <c:v>1307</c:v>
                </c:pt>
                <c:pt idx="105">
                  <c:v>1453</c:v>
                </c:pt>
                <c:pt idx="106">
                  <c:v>1542</c:v>
                </c:pt>
                <c:pt idx="107">
                  <c:v>1462</c:v>
                </c:pt>
                <c:pt idx="108">
                  <c:v>1433</c:v>
                </c:pt>
                <c:pt idx="109">
                  <c:v>1850</c:v>
                </c:pt>
                <c:pt idx="110">
                  <c:v>2111</c:v>
                </c:pt>
                <c:pt idx="111">
                  <c:v>1035</c:v>
                </c:pt>
                <c:pt idx="112">
                  <c:v>1915</c:v>
                </c:pt>
                <c:pt idx="113">
                  <c:v>2290</c:v>
                </c:pt>
                <c:pt idx="114">
                  <c:v>2251</c:v>
                </c:pt>
                <c:pt idx="115">
                  <c:v>1800</c:v>
                </c:pt>
                <c:pt idx="116">
                  <c:v>2162</c:v>
                </c:pt>
                <c:pt idx="117">
                  <c:v>2058</c:v>
                </c:pt>
                <c:pt idx="118">
                  <c:v>2109</c:v>
                </c:pt>
                <c:pt idx="119">
                  <c:v>1251</c:v>
                </c:pt>
                <c:pt idx="120">
                  <c:v>1278</c:v>
                </c:pt>
                <c:pt idx="121">
                  <c:v>981</c:v>
                </c:pt>
                <c:pt idx="122">
                  <c:v>1911</c:v>
                </c:pt>
                <c:pt idx="123">
                  <c:v>2296</c:v>
                </c:pt>
                <c:pt idx="124">
                  <c:v>2186</c:v>
                </c:pt>
                <c:pt idx="125">
                  <c:v>2642</c:v>
                </c:pt>
                <c:pt idx="126">
                  <c:v>1775</c:v>
                </c:pt>
                <c:pt idx="127">
                  <c:v>1894</c:v>
                </c:pt>
                <c:pt idx="128">
                  <c:v>2070</c:v>
                </c:pt>
                <c:pt idx="129">
                  <c:v>2196</c:v>
                </c:pt>
                <c:pt idx="130">
                  <c:v>2551</c:v>
                </c:pt>
                <c:pt idx="131">
                  <c:v>2922</c:v>
                </c:pt>
                <c:pt idx="132">
                  <c:v>752</c:v>
                </c:pt>
                <c:pt idx="133">
                  <c:v>793</c:v>
                </c:pt>
                <c:pt idx="134">
                  <c:v>1731</c:v>
                </c:pt>
                <c:pt idx="135">
                  <c:v>1086</c:v>
                </c:pt>
                <c:pt idx="136">
                  <c:v>3022</c:v>
                </c:pt>
                <c:pt idx="137">
                  <c:v>2514</c:v>
                </c:pt>
                <c:pt idx="138">
                  <c:v>2306</c:v>
                </c:pt>
                <c:pt idx="139">
                  <c:v>2212</c:v>
                </c:pt>
                <c:pt idx="140">
                  <c:v>2419</c:v>
                </c:pt>
                <c:pt idx="141">
                  <c:v>2132</c:v>
                </c:pt>
                <c:pt idx="142">
                  <c:v>2359</c:v>
                </c:pt>
                <c:pt idx="143">
                  <c:v>2958</c:v>
                </c:pt>
                <c:pt idx="144">
                  <c:v>749</c:v>
                </c:pt>
                <c:pt idx="145">
                  <c:v>2663</c:v>
                </c:pt>
                <c:pt idx="146">
                  <c:v>1277</c:v>
                </c:pt>
                <c:pt idx="147">
                  <c:v>1094</c:v>
                </c:pt>
                <c:pt idx="148">
                  <c:v>1232</c:v>
                </c:pt>
                <c:pt idx="149">
                  <c:v>1023</c:v>
                </c:pt>
                <c:pt idx="150">
                  <c:v>1695</c:v>
                </c:pt>
                <c:pt idx="151">
                  <c:v>1677</c:v>
                </c:pt>
                <c:pt idx="152">
                  <c:v>2354</c:v>
                </c:pt>
                <c:pt idx="153">
                  <c:v>1806</c:v>
                </c:pt>
                <c:pt idx="154">
                  <c:v>1294</c:v>
                </c:pt>
                <c:pt idx="155">
                  <c:v>1658</c:v>
                </c:pt>
                <c:pt idx="156">
                  <c:v>1068</c:v>
                </c:pt>
              </c:numCache>
            </c:numRef>
          </c:bubbleSize>
          <c:bubble3D val="0"/>
          <c:extLst>
            <c:ext xmlns:c16="http://schemas.microsoft.com/office/drawing/2014/chart" uri="{C3380CC4-5D6E-409C-BE32-E72D297353CC}">
              <c16:uniqueId val="{00000001-0635-4CC9-A990-39CC245ADBA1}"/>
            </c:ext>
          </c:extLst>
        </c:ser>
        <c:ser>
          <c:idx val="10"/>
          <c:order val="2"/>
          <c:tx>
            <c:strRef>
              <c:f>'Мособлдума одномандатный №6'!$AF$1</c:f>
              <c:strCache>
                <c:ptCount val="1"/>
                <c:pt idx="0">
                  <c:v>Григорьев (Роста)</c:v>
                </c:pt>
              </c:strCache>
            </c:strRef>
          </c:tx>
          <c:spPr>
            <a:solidFill>
              <a:srgbClr val="777777">
                <a:alpha val="49804"/>
              </a:srgbClr>
            </a:solidFill>
            <a:ln w="25400">
              <a:noFill/>
            </a:ln>
            <a:effectLst/>
          </c:spPr>
          <c:invertIfNegative val="0"/>
          <c:xVal>
            <c:numRef>
              <c:f>'Мособлдума одномандатный №6'!$O$2:$O$183</c:f>
              <c:numCache>
                <c:formatCode>0.0</c:formatCode>
                <c:ptCount val="157"/>
                <c:pt idx="0">
                  <c:v>65.116279069767444</c:v>
                </c:pt>
                <c:pt idx="1">
                  <c:v>53.515625</c:v>
                </c:pt>
                <c:pt idx="2">
                  <c:v>54.705586311021641</c:v>
                </c:pt>
                <c:pt idx="3">
                  <c:v>54.665409990574929</c:v>
                </c:pt>
                <c:pt idx="4">
                  <c:v>48.402304871660554</c:v>
                </c:pt>
                <c:pt idx="5">
                  <c:v>50.256673511293634</c:v>
                </c:pt>
                <c:pt idx="6">
                  <c:v>59.511698880976603</c:v>
                </c:pt>
                <c:pt idx="7">
                  <c:v>73.105413105413106</c:v>
                </c:pt>
                <c:pt idx="8">
                  <c:v>71.602532878714072</c:v>
                </c:pt>
                <c:pt idx="9">
                  <c:v>35.954101147471313</c:v>
                </c:pt>
                <c:pt idx="10">
                  <c:v>25.491949910554563</c:v>
                </c:pt>
                <c:pt idx="11">
                  <c:v>72.551252847380411</c:v>
                </c:pt>
                <c:pt idx="12">
                  <c:v>50.85662759242561</c:v>
                </c:pt>
                <c:pt idx="13">
                  <c:v>34.612105711849956</c:v>
                </c:pt>
                <c:pt idx="14">
                  <c:v>46.317512274959086</c:v>
                </c:pt>
                <c:pt idx="15">
                  <c:v>29.254783484390735</c:v>
                </c:pt>
                <c:pt idx="16">
                  <c:v>42.440318302387269</c:v>
                </c:pt>
                <c:pt idx="17">
                  <c:v>30.929487179487179</c:v>
                </c:pt>
                <c:pt idx="18">
                  <c:v>48.484848484848484</c:v>
                </c:pt>
                <c:pt idx="19">
                  <c:v>35.881261595547308</c:v>
                </c:pt>
                <c:pt idx="20">
                  <c:v>24.111111111111111</c:v>
                </c:pt>
                <c:pt idx="21">
                  <c:v>46.110056925996204</c:v>
                </c:pt>
                <c:pt idx="22">
                  <c:v>30.474040632054177</c:v>
                </c:pt>
                <c:pt idx="23">
                  <c:v>36.268939393939391</c:v>
                </c:pt>
                <c:pt idx="24">
                  <c:v>32.671957671957671</c:v>
                </c:pt>
                <c:pt idx="25">
                  <c:v>37.642045454545453</c:v>
                </c:pt>
                <c:pt idx="26">
                  <c:v>60.449786739046139</c:v>
                </c:pt>
                <c:pt idx="27">
                  <c:v>80.650994575045203</c:v>
                </c:pt>
                <c:pt idx="28">
                  <c:v>37.082691319979453</c:v>
                </c:pt>
                <c:pt idx="29">
                  <c:v>38.739789964994166</c:v>
                </c:pt>
                <c:pt idx="30">
                  <c:v>39.518413597733712</c:v>
                </c:pt>
                <c:pt idx="31">
                  <c:v>34.831460674157306</c:v>
                </c:pt>
                <c:pt idx="32">
                  <c:v>30.223880597014926</c:v>
                </c:pt>
                <c:pt idx="33">
                  <c:v>33.638968481375358</c:v>
                </c:pt>
                <c:pt idx="34">
                  <c:v>33.585684790089473</c:v>
                </c:pt>
                <c:pt idx="35">
                  <c:v>42.446524064171122</c:v>
                </c:pt>
                <c:pt idx="36">
                  <c:v>34.732109404271263</c:v>
                </c:pt>
                <c:pt idx="37">
                  <c:v>27.295462665237586</c:v>
                </c:pt>
                <c:pt idx="38">
                  <c:v>38.404088050314463</c:v>
                </c:pt>
                <c:pt idx="39">
                  <c:v>36.167664670658681</c:v>
                </c:pt>
                <c:pt idx="40">
                  <c:v>43.786356425171867</c:v>
                </c:pt>
                <c:pt idx="41">
                  <c:v>26.260080645161292</c:v>
                </c:pt>
                <c:pt idx="42">
                  <c:v>26.273885350318473</c:v>
                </c:pt>
                <c:pt idx="43">
                  <c:v>29.20353982300885</c:v>
                </c:pt>
                <c:pt idx="44">
                  <c:v>56.201248049922</c:v>
                </c:pt>
                <c:pt idx="45">
                  <c:v>64.135021097046419</c:v>
                </c:pt>
                <c:pt idx="46">
                  <c:v>50.591715976331358</c:v>
                </c:pt>
                <c:pt idx="47">
                  <c:v>43.617630223239843</c:v>
                </c:pt>
                <c:pt idx="48">
                  <c:v>52.123754588358679</c:v>
                </c:pt>
                <c:pt idx="49">
                  <c:v>37.353433835845898</c:v>
                </c:pt>
                <c:pt idx="50">
                  <c:v>40.566873339238263</c:v>
                </c:pt>
                <c:pt idx="51">
                  <c:v>39.118825100133513</c:v>
                </c:pt>
                <c:pt idx="52">
                  <c:v>20.602474448628296</c:v>
                </c:pt>
                <c:pt idx="53">
                  <c:v>33.231939163498097</c:v>
                </c:pt>
                <c:pt idx="54">
                  <c:v>48.615384615384613</c:v>
                </c:pt>
                <c:pt idx="55">
                  <c:v>53.189401373895976</c:v>
                </c:pt>
                <c:pt idx="56">
                  <c:v>58.823529411764703</c:v>
                </c:pt>
                <c:pt idx="57">
                  <c:v>48.980933596318209</c:v>
                </c:pt>
                <c:pt idx="58">
                  <c:v>40.422535211267608</c:v>
                </c:pt>
                <c:pt idx="59">
                  <c:v>50.819672131147541</c:v>
                </c:pt>
                <c:pt idx="60">
                  <c:v>39.598662207357862</c:v>
                </c:pt>
                <c:pt idx="61">
                  <c:v>50.497787610619469</c:v>
                </c:pt>
                <c:pt idx="62">
                  <c:v>44.234592445328033</c:v>
                </c:pt>
                <c:pt idx="63">
                  <c:v>40.035693039857229</c:v>
                </c:pt>
                <c:pt idx="64">
                  <c:v>38.27893175074184</c:v>
                </c:pt>
                <c:pt idx="65">
                  <c:v>43.427076520601702</c:v>
                </c:pt>
                <c:pt idx="66">
                  <c:v>35.166666666666664</c:v>
                </c:pt>
                <c:pt idx="67">
                  <c:v>36.234177215189874</c:v>
                </c:pt>
                <c:pt idx="68">
                  <c:v>43.453897096281203</c:v>
                </c:pt>
                <c:pt idx="69">
                  <c:v>48.370136698212406</c:v>
                </c:pt>
                <c:pt idx="70">
                  <c:v>50.819672131147541</c:v>
                </c:pt>
                <c:pt idx="71">
                  <c:v>53.723404255319146</c:v>
                </c:pt>
                <c:pt idx="72">
                  <c:v>47.549224968579807</c:v>
                </c:pt>
                <c:pt idx="73">
                  <c:v>52.247557003257327</c:v>
                </c:pt>
                <c:pt idx="74">
                  <c:v>31.077504725897921</c:v>
                </c:pt>
                <c:pt idx="75">
                  <c:v>33.969652471855113</c:v>
                </c:pt>
                <c:pt idx="76">
                  <c:v>52.412060301507537</c:v>
                </c:pt>
                <c:pt idx="77">
                  <c:v>54.251012145748987</c:v>
                </c:pt>
                <c:pt idx="78">
                  <c:v>100</c:v>
                </c:pt>
                <c:pt idx="79">
                  <c:v>67.46987951807229</c:v>
                </c:pt>
                <c:pt idx="80">
                  <c:v>44.665153234960272</c:v>
                </c:pt>
                <c:pt idx="81">
                  <c:v>34.619002822201317</c:v>
                </c:pt>
                <c:pt idx="82">
                  <c:v>35.362694300518136</c:v>
                </c:pt>
                <c:pt idx="83">
                  <c:v>39.04</c:v>
                </c:pt>
                <c:pt idx="84">
                  <c:v>35.573122529644266</c:v>
                </c:pt>
                <c:pt idx="85">
                  <c:v>43.721198156682028</c:v>
                </c:pt>
                <c:pt idx="86">
                  <c:v>38.940448569218873</c:v>
                </c:pt>
                <c:pt idx="87">
                  <c:v>38.696701528559935</c:v>
                </c:pt>
                <c:pt idx="88">
                  <c:v>40.17918676774638</c:v>
                </c:pt>
                <c:pt idx="89">
                  <c:v>36.810856658184903</c:v>
                </c:pt>
                <c:pt idx="90">
                  <c:v>34.310722100656456</c:v>
                </c:pt>
                <c:pt idx="91">
                  <c:v>44.636471990464841</c:v>
                </c:pt>
                <c:pt idx="92">
                  <c:v>34.172839506172842</c:v>
                </c:pt>
                <c:pt idx="93">
                  <c:v>0</c:v>
                </c:pt>
                <c:pt idx="94">
                  <c:v>38.10699588477366</c:v>
                </c:pt>
                <c:pt idx="95">
                  <c:v>30.737890448166592</c:v>
                </c:pt>
                <c:pt idx="96">
                  <c:v>52.017167381974247</c:v>
                </c:pt>
                <c:pt idx="97">
                  <c:v>34.624937903626432</c:v>
                </c:pt>
                <c:pt idx="98">
                  <c:v>35.096391497775578</c:v>
                </c:pt>
                <c:pt idx="99">
                  <c:v>42.716535433070867</c:v>
                </c:pt>
                <c:pt idx="100">
                  <c:v>39.681637293916999</c:v>
                </c:pt>
                <c:pt idx="101">
                  <c:v>35.935455734845178</c:v>
                </c:pt>
                <c:pt idx="102">
                  <c:v>33.088235294117645</c:v>
                </c:pt>
                <c:pt idx="103">
                  <c:v>35.335335335335337</c:v>
                </c:pt>
                <c:pt idx="104">
                  <c:v>41.009946442234124</c:v>
                </c:pt>
                <c:pt idx="105">
                  <c:v>70.199587061252586</c:v>
                </c:pt>
                <c:pt idx="106">
                  <c:v>31.322957198443579</c:v>
                </c:pt>
                <c:pt idx="107">
                  <c:v>33.652530779753761</c:v>
                </c:pt>
                <c:pt idx="108">
                  <c:v>33.426378227494766</c:v>
                </c:pt>
                <c:pt idx="109">
                  <c:v>28.27027027027027</c:v>
                </c:pt>
                <c:pt idx="110">
                  <c:v>41.449549976314543</c:v>
                </c:pt>
                <c:pt idx="111">
                  <c:v>54.589371980676326</c:v>
                </c:pt>
                <c:pt idx="112">
                  <c:v>50.391644908616186</c:v>
                </c:pt>
                <c:pt idx="113">
                  <c:v>34.235807860262007</c:v>
                </c:pt>
                <c:pt idx="114">
                  <c:v>32.918702798756108</c:v>
                </c:pt>
                <c:pt idx="115">
                  <c:v>69.944444444444443</c:v>
                </c:pt>
                <c:pt idx="116">
                  <c:v>31.498612395929694</c:v>
                </c:pt>
                <c:pt idx="117">
                  <c:v>39.067055393586003</c:v>
                </c:pt>
                <c:pt idx="118">
                  <c:v>35.846372688477949</c:v>
                </c:pt>
                <c:pt idx="119">
                  <c:v>29.496402877697843</c:v>
                </c:pt>
                <c:pt idx="120">
                  <c:v>36.15023474178404</c:v>
                </c:pt>
                <c:pt idx="121">
                  <c:v>32.619775739041792</c:v>
                </c:pt>
                <c:pt idx="122">
                  <c:v>32.914704343275773</c:v>
                </c:pt>
                <c:pt idx="123">
                  <c:v>36.454703832752614</c:v>
                </c:pt>
                <c:pt idx="124">
                  <c:v>38.655077767612077</c:v>
                </c:pt>
                <c:pt idx="125">
                  <c:v>26.343679031037095</c:v>
                </c:pt>
                <c:pt idx="126">
                  <c:v>27.943661971830984</c:v>
                </c:pt>
                <c:pt idx="127">
                  <c:v>30.517423442449843</c:v>
                </c:pt>
                <c:pt idx="128">
                  <c:v>24.2512077294686</c:v>
                </c:pt>
                <c:pt idx="129">
                  <c:v>25.774134790528233</c:v>
                </c:pt>
                <c:pt idx="130">
                  <c:v>21.677773422187379</c:v>
                </c:pt>
                <c:pt idx="131">
                  <c:v>30.321697467488022</c:v>
                </c:pt>
                <c:pt idx="132">
                  <c:v>53.324468085106382</c:v>
                </c:pt>
                <c:pt idx="133">
                  <c:v>50.189155107187894</c:v>
                </c:pt>
                <c:pt idx="134">
                  <c:v>31.195840554592721</c:v>
                </c:pt>
                <c:pt idx="135">
                  <c:v>44.290976058931861</c:v>
                </c:pt>
                <c:pt idx="136">
                  <c:v>25.843812045003308</c:v>
                </c:pt>
                <c:pt idx="137">
                  <c:v>21.28082736674622</c:v>
                </c:pt>
                <c:pt idx="138">
                  <c:v>25.108412836079793</c:v>
                </c:pt>
                <c:pt idx="139">
                  <c:v>25.090415913200722</c:v>
                </c:pt>
                <c:pt idx="140">
                  <c:v>25.754443985117817</c:v>
                </c:pt>
                <c:pt idx="141">
                  <c:v>23.076923076923077</c:v>
                </c:pt>
                <c:pt idx="142">
                  <c:v>21.449766850360323</c:v>
                </c:pt>
                <c:pt idx="143">
                  <c:v>24.273157538877619</c:v>
                </c:pt>
                <c:pt idx="144">
                  <c:v>16.688918558077436</c:v>
                </c:pt>
                <c:pt idx="145">
                  <c:v>20.277882087870822</c:v>
                </c:pt>
                <c:pt idx="146">
                  <c:v>40.563821456538761</c:v>
                </c:pt>
                <c:pt idx="147">
                  <c:v>33.180987202925046</c:v>
                </c:pt>
                <c:pt idx="148">
                  <c:v>30.681818181818183</c:v>
                </c:pt>
                <c:pt idx="149">
                  <c:v>35.09286412512219</c:v>
                </c:pt>
                <c:pt idx="150">
                  <c:v>36.991150442477874</c:v>
                </c:pt>
                <c:pt idx="151">
                  <c:v>47.942754919499109</c:v>
                </c:pt>
                <c:pt idx="152">
                  <c:v>62.192013593882756</c:v>
                </c:pt>
                <c:pt idx="153">
                  <c:v>31.339977851605759</c:v>
                </c:pt>
                <c:pt idx="154">
                  <c:v>40.958268933539415</c:v>
                </c:pt>
                <c:pt idx="155">
                  <c:v>41.6767189384801</c:v>
                </c:pt>
                <c:pt idx="156">
                  <c:v>23.50187265917603</c:v>
                </c:pt>
              </c:numCache>
            </c:numRef>
          </c:xVal>
          <c:yVal>
            <c:numRef>
              <c:f>'Мособлдума одномандатный №6'!$AF$2:$AF$183</c:f>
              <c:numCache>
                <c:formatCode>0.0</c:formatCode>
                <c:ptCount val="157"/>
                <c:pt idx="0">
                  <c:v>2.192982456140351</c:v>
                </c:pt>
                <c:pt idx="1">
                  <c:v>1.4629049111807733</c:v>
                </c:pt>
                <c:pt idx="2">
                  <c:v>2.770083102493075</c:v>
                </c:pt>
                <c:pt idx="3">
                  <c:v>1.8166089965397925</c:v>
                </c:pt>
                <c:pt idx="4">
                  <c:v>3.3953997809419496</c:v>
                </c:pt>
                <c:pt idx="5">
                  <c:v>3.0643513789581207</c:v>
                </c:pt>
                <c:pt idx="6">
                  <c:v>3.5897435897435899</c:v>
                </c:pt>
                <c:pt idx="7">
                  <c:v>3.051643192488263</c:v>
                </c:pt>
                <c:pt idx="8">
                  <c:v>2.7210884353741496</c:v>
                </c:pt>
                <c:pt idx="9">
                  <c:v>4.5238095238095237</c:v>
                </c:pt>
                <c:pt idx="10">
                  <c:v>3.6842105263157894</c:v>
                </c:pt>
                <c:pt idx="11">
                  <c:v>1.4128728414442699</c:v>
                </c:pt>
                <c:pt idx="12">
                  <c:v>5.8510638297872344</c:v>
                </c:pt>
                <c:pt idx="13">
                  <c:v>3.0788177339901477</c:v>
                </c:pt>
                <c:pt idx="14">
                  <c:v>3.3568904593639575</c:v>
                </c:pt>
                <c:pt idx="15">
                  <c:v>2.2375215146299485</c:v>
                </c:pt>
                <c:pt idx="16">
                  <c:v>5</c:v>
                </c:pt>
                <c:pt idx="17">
                  <c:v>3.9473684210526314</c:v>
                </c:pt>
                <c:pt idx="18">
                  <c:v>1.9230769230769231</c:v>
                </c:pt>
                <c:pt idx="19">
                  <c:v>1.8672199170124482</c:v>
                </c:pt>
                <c:pt idx="20">
                  <c:v>4.3778801843317972</c:v>
                </c:pt>
                <c:pt idx="21">
                  <c:v>2.0576131687242798</c:v>
                </c:pt>
                <c:pt idx="22">
                  <c:v>3.1157270029673589</c:v>
                </c:pt>
                <c:pt idx="23">
                  <c:v>4.438642297650131</c:v>
                </c:pt>
                <c:pt idx="24">
                  <c:v>2.8653295128939829</c:v>
                </c:pt>
                <c:pt idx="25">
                  <c:v>1.5094339622641511</c:v>
                </c:pt>
                <c:pt idx="26">
                  <c:v>2.4374599101988452</c:v>
                </c:pt>
                <c:pt idx="27">
                  <c:v>2.391629297458894</c:v>
                </c:pt>
                <c:pt idx="28">
                  <c:v>1.3850415512465375</c:v>
                </c:pt>
                <c:pt idx="29">
                  <c:v>3.3132530120481927</c:v>
                </c:pt>
                <c:pt idx="30">
                  <c:v>1.4336917562724014</c:v>
                </c:pt>
                <c:pt idx="31">
                  <c:v>3.3946251768033946</c:v>
                </c:pt>
                <c:pt idx="32">
                  <c:v>4.3209876543209873</c:v>
                </c:pt>
                <c:pt idx="33">
                  <c:v>2.5597269624573378</c:v>
                </c:pt>
                <c:pt idx="34">
                  <c:v>3.278688524590164</c:v>
                </c:pt>
                <c:pt idx="35">
                  <c:v>4.2519685039370083</c:v>
                </c:pt>
                <c:pt idx="36">
                  <c:v>2.6968716289104639</c:v>
                </c:pt>
                <c:pt idx="37">
                  <c:v>2.74869109947644</c:v>
                </c:pt>
                <c:pt idx="38">
                  <c:v>3.3776867963152508</c:v>
                </c:pt>
                <c:pt idx="39">
                  <c:v>1.9867549668874172</c:v>
                </c:pt>
                <c:pt idx="40">
                  <c:v>0</c:v>
                </c:pt>
                <c:pt idx="41">
                  <c:v>3.6468330134357005</c:v>
                </c:pt>
                <c:pt idx="42">
                  <c:v>4.2424242424242422</c:v>
                </c:pt>
                <c:pt idx="43">
                  <c:v>3.0303030303030303</c:v>
                </c:pt>
                <c:pt idx="44">
                  <c:v>2.2900763358778624</c:v>
                </c:pt>
                <c:pt idx="45">
                  <c:v>3.9473684210526314</c:v>
                </c:pt>
                <c:pt idx="46">
                  <c:v>2.3391812865497075</c:v>
                </c:pt>
                <c:pt idx="47">
                  <c:v>3.2808398950131235</c:v>
                </c:pt>
                <c:pt idx="48">
                  <c:v>2.0120724346076457</c:v>
                </c:pt>
                <c:pt idx="49">
                  <c:v>3.5799522673031028</c:v>
                </c:pt>
                <c:pt idx="50">
                  <c:v>2.8446389496717726</c:v>
                </c:pt>
                <c:pt idx="51">
                  <c:v>3.5026269702276709</c:v>
                </c:pt>
                <c:pt idx="52">
                  <c:v>4.438642297650131</c:v>
                </c:pt>
                <c:pt idx="53">
                  <c:v>2.9816513761467891</c:v>
                </c:pt>
                <c:pt idx="54">
                  <c:v>1.2658227848101267</c:v>
                </c:pt>
                <c:pt idx="55">
                  <c:v>2.3985239852398523</c:v>
                </c:pt>
                <c:pt idx="56">
                  <c:v>3.0944625407166124</c:v>
                </c:pt>
                <c:pt idx="57">
                  <c:v>3.4899328859060401</c:v>
                </c:pt>
                <c:pt idx="58">
                  <c:v>3.4965034965034967</c:v>
                </c:pt>
                <c:pt idx="59">
                  <c:v>3.225806451612903</c:v>
                </c:pt>
                <c:pt idx="60">
                  <c:v>2.7027027027027026</c:v>
                </c:pt>
                <c:pt idx="61">
                  <c:v>6.4692982456140351</c:v>
                </c:pt>
                <c:pt idx="62">
                  <c:v>3.6781609195402298</c:v>
                </c:pt>
                <c:pt idx="63">
                  <c:v>3.1390134529147984</c:v>
                </c:pt>
                <c:pt idx="64">
                  <c:v>2.3255813953488373</c:v>
                </c:pt>
                <c:pt idx="65">
                  <c:v>3.9156626506024095</c:v>
                </c:pt>
                <c:pt idx="66">
                  <c:v>3.0015797788309637</c:v>
                </c:pt>
                <c:pt idx="67">
                  <c:v>2.347417840375587</c:v>
                </c:pt>
                <c:pt idx="68">
                  <c:v>2.1101992966002343</c:v>
                </c:pt>
                <c:pt idx="69">
                  <c:v>1.0869565217391304</c:v>
                </c:pt>
                <c:pt idx="70">
                  <c:v>2.3894862604540026</c:v>
                </c:pt>
                <c:pt idx="71">
                  <c:v>3.2531824611032532</c:v>
                </c:pt>
                <c:pt idx="72">
                  <c:v>1.3215859030837005</c:v>
                </c:pt>
                <c:pt idx="73">
                  <c:v>0.99750623441396513</c:v>
                </c:pt>
                <c:pt idx="74">
                  <c:v>2.3114355231143553</c:v>
                </c:pt>
                <c:pt idx="75">
                  <c:v>1.8731988472622478</c:v>
                </c:pt>
                <c:pt idx="76">
                  <c:v>3.3695652173913042</c:v>
                </c:pt>
                <c:pt idx="77">
                  <c:v>3.4090909090909092</c:v>
                </c:pt>
                <c:pt idx="78">
                  <c:v>1.1235955056179776</c:v>
                </c:pt>
                <c:pt idx="79">
                  <c:v>1.7857142857142858</c:v>
                </c:pt>
                <c:pt idx="80">
                  <c:v>2.2871664548919948</c:v>
                </c:pt>
                <c:pt idx="81">
                  <c:v>1.3586956521739131</c:v>
                </c:pt>
                <c:pt idx="82">
                  <c:v>2.197802197802198</c:v>
                </c:pt>
                <c:pt idx="83">
                  <c:v>3.0864197530864197</c:v>
                </c:pt>
                <c:pt idx="84">
                  <c:v>5.1111111111111107</c:v>
                </c:pt>
                <c:pt idx="85">
                  <c:v>3.5519125683060109</c:v>
                </c:pt>
                <c:pt idx="86">
                  <c:v>3.1315240083507305</c:v>
                </c:pt>
                <c:pt idx="87">
                  <c:v>2.5210084033613445</c:v>
                </c:pt>
                <c:pt idx="88">
                  <c:v>1.2006861063464838</c:v>
                </c:pt>
                <c:pt idx="89">
                  <c:v>2.0737327188940093</c:v>
                </c:pt>
                <c:pt idx="90">
                  <c:v>3.8265306122448979</c:v>
                </c:pt>
                <c:pt idx="91">
                  <c:v>2.0804438280166435</c:v>
                </c:pt>
                <c:pt idx="92">
                  <c:v>2.8901734104046244</c:v>
                </c:pt>
                <c:pt idx="93">
                  <c:v>0</c:v>
                </c:pt>
                <c:pt idx="94">
                  <c:v>2.1621621621621623</c:v>
                </c:pt>
                <c:pt idx="95">
                  <c:v>3.0927835051546393</c:v>
                </c:pt>
                <c:pt idx="96">
                  <c:v>1.4851485148514851</c:v>
                </c:pt>
                <c:pt idx="97">
                  <c:v>2.4024024024024024</c:v>
                </c:pt>
                <c:pt idx="98">
                  <c:v>2.9829545454545454</c:v>
                </c:pt>
                <c:pt idx="99">
                  <c:v>1.6434892541087232</c:v>
                </c:pt>
                <c:pt idx="100">
                  <c:v>2.1551724137931036</c:v>
                </c:pt>
                <c:pt idx="101">
                  <c:v>2.912621359223301</c:v>
                </c:pt>
                <c:pt idx="102">
                  <c:v>3.0555555555555554</c:v>
                </c:pt>
                <c:pt idx="103">
                  <c:v>3.9660056657223794</c:v>
                </c:pt>
                <c:pt idx="104">
                  <c:v>1.4925373134328359</c:v>
                </c:pt>
                <c:pt idx="105">
                  <c:v>2.4390243902439024</c:v>
                </c:pt>
                <c:pt idx="106">
                  <c:v>4.9689440993788816</c:v>
                </c:pt>
                <c:pt idx="107">
                  <c:v>2.6422764227642275</c:v>
                </c:pt>
                <c:pt idx="108">
                  <c:v>1.6701461377870563</c:v>
                </c:pt>
                <c:pt idx="109">
                  <c:v>3.2504780114722753</c:v>
                </c:pt>
                <c:pt idx="110">
                  <c:v>1.9428571428571428</c:v>
                </c:pt>
                <c:pt idx="111">
                  <c:v>1.9469026548672566</c:v>
                </c:pt>
                <c:pt idx="112">
                  <c:v>1.7653167185877465</c:v>
                </c:pt>
                <c:pt idx="113">
                  <c:v>2.5940337224383918</c:v>
                </c:pt>
                <c:pt idx="114">
                  <c:v>2.2941970310391362</c:v>
                </c:pt>
                <c:pt idx="115">
                  <c:v>1.1914217633042097</c:v>
                </c:pt>
                <c:pt idx="116">
                  <c:v>2.3494860499265786</c:v>
                </c:pt>
                <c:pt idx="117">
                  <c:v>1.2820512820512822</c:v>
                </c:pt>
                <c:pt idx="118">
                  <c:v>2.1037868162692845</c:v>
                </c:pt>
                <c:pt idx="119">
                  <c:v>2.1739130434782608</c:v>
                </c:pt>
                <c:pt idx="120">
                  <c:v>2.5974025974025974</c:v>
                </c:pt>
                <c:pt idx="121">
                  <c:v>1.25</c:v>
                </c:pt>
                <c:pt idx="122">
                  <c:v>2.2257551669316373</c:v>
                </c:pt>
                <c:pt idx="123">
                  <c:v>2.7644230769230771</c:v>
                </c:pt>
                <c:pt idx="124">
                  <c:v>2.150537634408602</c:v>
                </c:pt>
                <c:pt idx="125">
                  <c:v>2.1551724137931036</c:v>
                </c:pt>
                <c:pt idx="126">
                  <c:v>3.629032258064516</c:v>
                </c:pt>
                <c:pt idx="127">
                  <c:v>3.8062283737024223</c:v>
                </c:pt>
                <c:pt idx="128">
                  <c:v>3.8306451612903225</c:v>
                </c:pt>
                <c:pt idx="129">
                  <c:v>3.5335689045936394</c:v>
                </c:pt>
                <c:pt idx="130">
                  <c:v>3.9783001808318263</c:v>
                </c:pt>
                <c:pt idx="131">
                  <c:v>1.693002257336343</c:v>
                </c:pt>
                <c:pt idx="132">
                  <c:v>1.7676767676767677</c:v>
                </c:pt>
                <c:pt idx="133">
                  <c:v>5.9945504087193457</c:v>
                </c:pt>
                <c:pt idx="134">
                  <c:v>3.5647279549718576</c:v>
                </c:pt>
                <c:pt idx="135">
                  <c:v>2.5</c:v>
                </c:pt>
                <c:pt idx="136">
                  <c:v>5.6410256410256414</c:v>
                </c:pt>
                <c:pt idx="137">
                  <c:v>4.2990654205607477</c:v>
                </c:pt>
                <c:pt idx="138">
                  <c:v>3.4542314335060449</c:v>
                </c:pt>
                <c:pt idx="139">
                  <c:v>4.7186932849364789</c:v>
                </c:pt>
                <c:pt idx="140">
                  <c:v>4.9759229534510432</c:v>
                </c:pt>
                <c:pt idx="141">
                  <c:v>4.0733197556008145</c:v>
                </c:pt>
                <c:pt idx="142">
                  <c:v>3.7773359840954273</c:v>
                </c:pt>
                <c:pt idx="143">
                  <c:v>2.2284122562674096</c:v>
                </c:pt>
                <c:pt idx="144">
                  <c:v>6.7226890756302522</c:v>
                </c:pt>
                <c:pt idx="145">
                  <c:v>5</c:v>
                </c:pt>
                <c:pt idx="146">
                  <c:v>2.3166023166023164</c:v>
                </c:pt>
                <c:pt idx="147">
                  <c:v>4.9586776859504136</c:v>
                </c:pt>
                <c:pt idx="148">
                  <c:v>4.2328042328042326</c:v>
                </c:pt>
                <c:pt idx="149">
                  <c:v>3.0640668523676879</c:v>
                </c:pt>
                <c:pt idx="150">
                  <c:v>3.0357142857142856</c:v>
                </c:pt>
                <c:pt idx="151">
                  <c:v>2.6151930261519301</c:v>
                </c:pt>
                <c:pt idx="152">
                  <c:v>1.0245901639344261</c:v>
                </c:pt>
                <c:pt idx="153">
                  <c:v>4.5936395759717312</c:v>
                </c:pt>
                <c:pt idx="154">
                  <c:v>1.320754716981132</c:v>
                </c:pt>
                <c:pt idx="155">
                  <c:v>2.1707670043415339</c:v>
                </c:pt>
                <c:pt idx="156">
                  <c:v>1.1952191235059761</c:v>
                </c:pt>
              </c:numCache>
            </c:numRef>
          </c:yVal>
          <c:bubbleSize>
            <c:numRef>
              <c:f>'Мособлдума одномандатный №6'!$J$2:$J$183</c:f>
              <c:numCache>
                <c:formatCode>General</c:formatCode>
                <c:ptCount val="157"/>
                <c:pt idx="0">
                  <c:v>2451</c:v>
                </c:pt>
                <c:pt idx="1">
                  <c:v>1792</c:v>
                </c:pt>
                <c:pt idx="2">
                  <c:v>1987</c:v>
                </c:pt>
                <c:pt idx="3">
                  <c:v>2122</c:v>
                </c:pt>
                <c:pt idx="4">
                  <c:v>1909</c:v>
                </c:pt>
                <c:pt idx="5">
                  <c:v>1948</c:v>
                </c:pt>
                <c:pt idx="6">
                  <c:v>1966</c:v>
                </c:pt>
                <c:pt idx="7">
                  <c:v>1755</c:v>
                </c:pt>
                <c:pt idx="8">
                  <c:v>2053</c:v>
                </c:pt>
                <c:pt idx="9">
                  <c:v>2353</c:v>
                </c:pt>
                <c:pt idx="10">
                  <c:v>2236</c:v>
                </c:pt>
                <c:pt idx="11">
                  <c:v>878</c:v>
                </c:pt>
                <c:pt idx="12">
                  <c:v>1109</c:v>
                </c:pt>
                <c:pt idx="13">
                  <c:v>2346</c:v>
                </c:pt>
                <c:pt idx="14">
                  <c:v>1222</c:v>
                </c:pt>
                <c:pt idx="15">
                  <c:v>1986</c:v>
                </c:pt>
                <c:pt idx="16">
                  <c:v>377</c:v>
                </c:pt>
                <c:pt idx="17">
                  <c:v>1248</c:v>
                </c:pt>
                <c:pt idx="18">
                  <c:v>1716</c:v>
                </c:pt>
                <c:pt idx="19">
                  <c:v>2695</c:v>
                </c:pt>
                <c:pt idx="20">
                  <c:v>1800</c:v>
                </c:pt>
                <c:pt idx="21">
                  <c:v>2108</c:v>
                </c:pt>
                <c:pt idx="22">
                  <c:v>2215</c:v>
                </c:pt>
                <c:pt idx="23">
                  <c:v>2112</c:v>
                </c:pt>
                <c:pt idx="24">
                  <c:v>2268</c:v>
                </c:pt>
                <c:pt idx="25">
                  <c:v>2112</c:v>
                </c:pt>
                <c:pt idx="26">
                  <c:v>2579</c:v>
                </c:pt>
                <c:pt idx="27">
                  <c:v>1659</c:v>
                </c:pt>
                <c:pt idx="28">
                  <c:v>1947</c:v>
                </c:pt>
                <c:pt idx="29">
                  <c:v>857</c:v>
                </c:pt>
                <c:pt idx="30">
                  <c:v>1412</c:v>
                </c:pt>
                <c:pt idx="31">
                  <c:v>2047</c:v>
                </c:pt>
                <c:pt idx="32">
                  <c:v>536</c:v>
                </c:pt>
                <c:pt idx="33">
                  <c:v>1745</c:v>
                </c:pt>
                <c:pt idx="34">
                  <c:v>1453</c:v>
                </c:pt>
                <c:pt idx="35">
                  <c:v>1496</c:v>
                </c:pt>
                <c:pt idx="36">
                  <c:v>2669</c:v>
                </c:pt>
                <c:pt idx="37">
                  <c:v>2799</c:v>
                </c:pt>
                <c:pt idx="38">
                  <c:v>2544</c:v>
                </c:pt>
                <c:pt idx="39">
                  <c:v>1670</c:v>
                </c:pt>
                <c:pt idx="40">
                  <c:v>1891</c:v>
                </c:pt>
                <c:pt idx="41">
                  <c:v>1984</c:v>
                </c:pt>
                <c:pt idx="42">
                  <c:v>628</c:v>
                </c:pt>
                <c:pt idx="43">
                  <c:v>1469</c:v>
                </c:pt>
                <c:pt idx="44">
                  <c:v>2564</c:v>
                </c:pt>
                <c:pt idx="45">
                  <c:v>711</c:v>
                </c:pt>
                <c:pt idx="46">
                  <c:v>676</c:v>
                </c:pt>
                <c:pt idx="47">
                  <c:v>1747</c:v>
                </c:pt>
                <c:pt idx="48">
                  <c:v>1907</c:v>
                </c:pt>
                <c:pt idx="49">
                  <c:v>1194</c:v>
                </c:pt>
                <c:pt idx="50">
                  <c:v>1129</c:v>
                </c:pt>
                <c:pt idx="51">
                  <c:v>1498</c:v>
                </c:pt>
                <c:pt idx="52">
                  <c:v>1859</c:v>
                </c:pt>
                <c:pt idx="53">
                  <c:v>1315</c:v>
                </c:pt>
                <c:pt idx="54">
                  <c:v>1300</c:v>
                </c:pt>
                <c:pt idx="55">
                  <c:v>2038</c:v>
                </c:pt>
                <c:pt idx="56">
                  <c:v>1190</c:v>
                </c:pt>
                <c:pt idx="57">
                  <c:v>1521</c:v>
                </c:pt>
                <c:pt idx="58">
                  <c:v>710</c:v>
                </c:pt>
                <c:pt idx="59">
                  <c:v>1525</c:v>
                </c:pt>
                <c:pt idx="60">
                  <c:v>1495</c:v>
                </c:pt>
                <c:pt idx="61">
                  <c:v>1808</c:v>
                </c:pt>
                <c:pt idx="62">
                  <c:v>2012</c:v>
                </c:pt>
                <c:pt idx="63">
                  <c:v>1681</c:v>
                </c:pt>
                <c:pt idx="64">
                  <c:v>1685</c:v>
                </c:pt>
                <c:pt idx="65">
                  <c:v>1529</c:v>
                </c:pt>
                <c:pt idx="66">
                  <c:v>1800</c:v>
                </c:pt>
                <c:pt idx="67">
                  <c:v>1896</c:v>
                </c:pt>
                <c:pt idx="68">
                  <c:v>1963</c:v>
                </c:pt>
                <c:pt idx="69">
                  <c:v>1902</c:v>
                </c:pt>
                <c:pt idx="70">
                  <c:v>1647</c:v>
                </c:pt>
                <c:pt idx="71">
                  <c:v>1316</c:v>
                </c:pt>
                <c:pt idx="72">
                  <c:v>2387</c:v>
                </c:pt>
                <c:pt idx="73">
                  <c:v>1535</c:v>
                </c:pt>
                <c:pt idx="74">
                  <c:v>2645</c:v>
                </c:pt>
                <c:pt idx="75">
                  <c:v>2043</c:v>
                </c:pt>
                <c:pt idx="76">
                  <c:v>1990</c:v>
                </c:pt>
                <c:pt idx="77">
                  <c:v>988</c:v>
                </c:pt>
                <c:pt idx="78">
                  <c:v>89</c:v>
                </c:pt>
                <c:pt idx="79">
                  <c:v>83</c:v>
                </c:pt>
                <c:pt idx="80">
                  <c:v>1762</c:v>
                </c:pt>
                <c:pt idx="81">
                  <c:v>1063</c:v>
                </c:pt>
                <c:pt idx="82">
                  <c:v>2316</c:v>
                </c:pt>
                <c:pt idx="83">
                  <c:v>1250</c:v>
                </c:pt>
                <c:pt idx="84">
                  <c:v>1265</c:v>
                </c:pt>
                <c:pt idx="85">
                  <c:v>1736</c:v>
                </c:pt>
                <c:pt idx="86">
                  <c:v>2586</c:v>
                </c:pt>
                <c:pt idx="87">
                  <c:v>1243</c:v>
                </c:pt>
                <c:pt idx="88">
                  <c:v>1451</c:v>
                </c:pt>
                <c:pt idx="89">
                  <c:v>1179</c:v>
                </c:pt>
                <c:pt idx="90">
                  <c:v>2285</c:v>
                </c:pt>
                <c:pt idx="91">
                  <c:v>1678</c:v>
                </c:pt>
                <c:pt idx="92">
                  <c:v>2025</c:v>
                </c:pt>
                <c:pt idx="93">
                  <c:v>0</c:v>
                </c:pt>
                <c:pt idx="94">
                  <c:v>2430</c:v>
                </c:pt>
                <c:pt idx="95">
                  <c:v>2209</c:v>
                </c:pt>
                <c:pt idx="96">
                  <c:v>2330</c:v>
                </c:pt>
                <c:pt idx="97">
                  <c:v>2013</c:v>
                </c:pt>
                <c:pt idx="98">
                  <c:v>2023</c:v>
                </c:pt>
                <c:pt idx="99">
                  <c:v>2032</c:v>
                </c:pt>
                <c:pt idx="100">
                  <c:v>1759</c:v>
                </c:pt>
                <c:pt idx="101">
                  <c:v>2293</c:v>
                </c:pt>
                <c:pt idx="102">
                  <c:v>2176</c:v>
                </c:pt>
                <c:pt idx="103">
                  <c:v>1998</c:v>
                </c:pt>
                <c:pt idx="104">
                  <c:v>1307</c:v>
                </c:pt>
                <c:pt idx="105">
                  <c:v>1453</c:v>
                </c:pt>
                <c:pt idx="106">
                  <c:v>1542</c:v>
                </c:pt>
                <c:pt idx="107">
                  <c:v>1462</c:v>
                </c:pt>
                <c:pt idx="108">
                  <c:v>1433</c:v>
                </c:pt>
                <c:pt idx="109">
                  <c:v>1850</c:v>
                </c:pt>
                <c:pt idx="110">
                  <c:v>2111</c:v>
                </c:pt>
                <c:pt idx="111">
                  <c:v>1035</c:v>
                </c:pt>
                <c:pt idx="112">
                  <c:v>1915</c:v>
                </c:pt>
                <c:pt idx="113">
                  <c:v>2290</c:v>
                </c:pt>
                <c:pt idx="114">
                  <c:v>2251</c:v>
                </c:pt>
                <c:pt idx="115">
                  <c:v>1800</c:v>
                </c:pt>
                <c:pt idx="116">
                  <c:v>2162</c:v>
                </c:pt>
                <c:pt idx="117">
                  <c:v>2058</c:v>
                </c:pt>
                <c:pt idx="118">
                  <c:v>2109</c:v>
                </c:pt>
                <c:pt idx="119">
                  <c:v>1251</c:v>
                </c:pt>
                <c:pt idx="120">
                  <c:v>1278</c:v>
                </c:pt>
                <c:pt idx="121">
                  <c:v>981</c:v>
                </c:pt>
                <c:pt idx="122">
                  <c:v>1911</c:v>
                </c:pt>
                <c:pt idx="123">
                  <c:v>2296</c:v>
                </c:pt>
                <c:pt idx="124">
                  <c:v>2186</c:v>
                </c:pt>
                <c:pt idx="125">
                  <c:v>2642</c:v>
                </c:pt>
                <c:pt idx="126">
                  <c:v>1775</c:v>
                </c:pt>
                <c:pt idx="127">
                  <c:v>1894</c:v>
                </c:pt>
                <c:pt idx="128">
                  <c:v>2070</c:v>
                </c:pt>
                <c:pt idx="129">
                  <c:v>2196</c:v>
                </c:pt>
                <c:pt idx="130">
                  <c:v>2551</c:v>
                </c:pt>
                <c:pt idx="131">
                  <c:v>2922</c:v>
                </c:pt>
                <c:pt idx="132">
                  <c:v>752</c:v>
                </c:pt>
                <c:pt idx="133">
                  <c:v>793</c:v>
                </c:pt>
                <c:pt idx="134">
                  <c:v>1731</c:v>
                </c:pt>
                <c:pt idx="135">
                  <c:v>1086</c:v>
                </c:pt>
                <c:pt idx="136">
                  <c:v>3022</c:v>
                </c:pt>
                <c:pt idx="137">
                  <c:v>2514</c:v>
                </c:pt>
                <c:pt idx="138">
                  <c:v>2306</c:v>
                </c:pt>
                <c:pt idx="139">
                  <c:v>2212</c:v>
                </c:pt>
                <c:pt idx="140">
                  <c:v>2419</c:v>
                </c:pt>
                <c:pt idx="141">
                  <c:v>2132</c:v>
                </c:pt>
                <c:pt idx="142">
                  <c:v>2359</c:v>
                </c:pt>
                <c:pt idx="143">
                  <c:v>2958</c:v>
                </c:pt>
                <c:pt idx="144">
                  <c:v>749</c:v>
                </c:pt>
                <c:pt idx="145">
                  <c:v>2663</c:v>
                </c:pt>
                <c:pt idx="146">
                  <c:v>1277</c:v>
                </c:pt>
                <c:pt idx="147">
                  <c:v>1094</c:v>
                </c:pt>
                <c:pt idx="148">
                  <c:v>1232</c:v>
                </c:pt>
                <c:pt idx="149">
                  <c:v>1023</c:v>
                </c:pt>
                <c:pt idx="150">
                  <c:v>1695</c:v>
                </c:pt>
                <c:pt idx="151">
                  <c:v>1677</c:v>
                </c:pt>
                <c:pt idx="152">
                  <c:v>2354</c:v>
                </c:pt>
                <c:pt idx="153">
                  <c:v>1806</c:v>
                </c:pt>
                <c:pt idx="154">
                  <c:v>1294</c:v>
                </c:pt>
                <c:pt idx="155">
                  <c:v>1658</c:v>
                </c:pt>
                <c:pt idx="156">
                  <c:v>1068</c:v>
                </c:pt>
              </c:numCache>
            </c:numRef>
          </c:bubbleSize>
          <c:bubble3D val="0"/>
          <c:extLst>
            <c:ext xmlns:c16="http://schemas.microsoft.com/office/drawing/2014/chart" uri="{C3380CC4-5D6E-409C-BE32-E72D297353CC}">
              <c16:uniqueId val="{00000002-0635-4CC9-A990-39CC245ADBA1}"/>
            </c:ext>
          </c:extLst>
        </c:ser>
        <c:ser>
          <c:idx val="11"/>
          <c:order val="3"/>
          <c:tx>
            <c:strRef>
              <c:f>'Мособлдума одномандатный №6'!$AH$1</c:f>
              <c:strCache>
                <c:ptCount val="1"/>
                <c:pt idx="0">
                  <c:v>Дуленков (Яблоко)</c:v>
                </c:pt>
              </c:strCache>
            </c:strRef>
          </c:tx>
          <c:spPr>
            <a:solidFill>
              <a:srgbClr val="FF00FF">
                <a:alpha val="50000"/>
              </a:srgbClr>
            </a:solidFill>
            <a:ln w="25400">
              <a:noFill/>
            </a:ln>
            <a:effectLst/>
          </c:spPr>
          <c:invertIfNegative val="0"/>
          <c:xVal>
            <c:numRef>
              <c:f>'Мособлдума одномандатный №6'!$O$2:$O$183</c:f>
              <c:numCache>
                <c:formatCode>0.0</c:formatCode>
                <c:ptCount val="157"/>
                <c:pt idx="0">
                  <c:v>65.116279069767444</c:v>
                </c:pt>
                <c:pt idx="1">
                  <c:v>53.515625</c:v>
                </c:pt>
                <c:pt idx="2">
                  <c:v>54.705586311021641</c:v>
                </c:pt>
                <c:pt idx="3">
                  <c:v>54.665409990574929</c:v>
                </c:pt>
                <c:pt idx="4">
                  <c:v>48.402304871660554</c:v>
                </c:pt>
                <c:pt idx="5">
                  <c:v>50.256673511293634</c:v>
                </c:pt>
                <c:pt idx="6">
                  <c:v>59.511698880976603</c:v>
                </c:pt>
                <c:pt idx="7">
                  <c:v>73.105413105413106</c:v>
                </c:pt>
                <c:pt idx="8">
                  <c:v>71.602532878714072</c:v>
                </c:pt>
                <c:pt idx="9">
                  <c:v>35.954101147471313</c:v>
                </c:pt>
                <c:pt idx="10">
                  <c:v>25.491949910554563</c:v>
                </c:pt>
                <c:pt idx="11">
                  <c:v>72.551252847380411</c:v>
                </c:pt>
                <c:pt idx="12">
                  <c:v>50.85662759242561</c:v>
                </c:pt>
                <c:pt idx="13">
                  <c:v>34.612105711849956</c:v>
                </c:pt>
                <c:pt idx="14">
                  <c:v>46.317512274959086</c:v>
                </c:pt>
                <c:pt idx="15">
                  <c:v>29.254783484390735</c:v>
                </c:pt>
                <c:pt idx="16">
                  <c:v>42.440318302387269</c:v>
                </c:pt>
                <c:pt idx="17">
                  <c:v>30.929487179487179</c:v>
                </c:pt>
                <c:pt idx="18">
                  <c:v>48.484848484848484</c:v>
                </c:pt>
                <c:pt idx="19">
                  <c:v>35.881261595547308</c:v>
                </c:pt>
                <c:pt idx="20">
                  <c:v>24.111111111111111</c:v>
                </c:pt>
                <c:pt idx="21">
                  <c:v>46.110056925996204</c:v>
                </c:pt>
                <c:pt idx="22">
                  <c:v>30.474040632054177</c:v>
                </c:pt>
                <c:pt idx="23">
                  <c:v>36.268939393939391</c:v>
                </c:pt>
                <c:pt idx="24">
                  <c:v>32.671957671957671</c:v>
                </c:pt>
                <c:pt idx="25">
                  <c:v>37.642045454545453</c:v>
                </c:pt>
                <c:pt idx="26">
                  <c:v>60.449786739046139</c:v>
                </c:pt>
                <c:pt idx="27">
                  <c:v>80.650994575045203</c:v>
                </c:pt>
                <c:pt idx="28">
                  <c:v>37.082691319979453</c:v>
                </c:pt>
                <c:pt idx="29">
                  <c:v>38.739789964994166</c:v>
                </c:pt>
                <c:pt idx="30">
                  <c:v>39.518413597733712</c:v>
                </c:pt>
                <c:pt idx="31">
                  <c:v>34.831460674157306</c:v>
                </c:pt>
                <c:pt idx="32">
                  <c:v>30.223880597014926</c:v>
                </c:pt>
                <c:pt idx="33">
                  <c:v>33.638968481375358</c:v>
                </c:pt>
                <c:pt idx="34">
                  <c:v>33.585684790089473</c:v>
                </c:pt>
                <c:pt idx="35">
                  <c:v>42.446524064171122</c:v>
                </c:pt>
                <c:pt idx="36">
                  <c:v>34.732109404271263</c:v>
                </c:pt>
                <c:pt idx="37">
                  <c:v>27.295462665237586</c:v>
                </c:pt>
                <c:pt idx="38">
                  <c:v>38.404088050314463</c:v>
                </c:pt>
                <c:pt idx="39">
                  <c:v>36.167664670658681</c:v>
                </c:pt>
                <c:pt idx="40">
                  <c:v>43.786356425171867</c:v>
                </c:pt>
                <c:pt idx="41">
                  <c:v>26.260080645161292</c:v>
                </c:pt>
                <c:pt idx="42">
                  <c:v>26.273885350318473</c:v>
                </c:pt>
                <c:pt idx="43">
                  <c:v>29.20353982300885</c:v>
                </c:pt>
                <c:pt idx="44">
                  <c:v>56.201248049922</c:v>
                </c:pt>
                <c:pt idx="45">
                  <c:v>64.135021097046419</c:v>
                </c:pt>
                <c:pt idx="46">
                  <c:v>50.591715976331358</c:v>
                </c:pt>
                <c:pt idx="47">
                  <c:v>43.617630223239843</c:v>
                </c:pt>
                <c:pt idx="48">
                  <c:v>52.123754588358679</c:v>
                </c:pt>
                <c:pt idx="49">
                  <c:v>37.353433835845898</c:v>
                </c:pt>
                <c:pt idx="50">
                  <c:v>40.566873339238263</c:v>
                </c:pt>
                <c:pt idx="51">
                  <c:v>39.118825100133513</c:v>
                </c:pt>
                <c:pt idx="52">
                  <c:v>20.602474448628296</c:v>
                </c:pt>
                <c:pt idx="53">
                  <c:v>33.231939163498097</c:v>
                </c:pt>
                <c:pt idx="54">
                  <c:v>48.615384615384613</c:v>
                </c:pt>
                <c:pt idx="55">
                  <c:v>53.189401373895976</c:v>
                </c:pt>
                <c:pt idx="56">
                  <c:v>58.823529411764703</c:v>
                </c:pt>
                <c:pt idx="57">
                  <c:v>48.980933596318209</c:v>
                </c:pt>
                <c:pt idx="58">
                  <c:v>40.422535211267608</c:v>
                </c:pt>
                <c:pt idx="59">
                  <c:v>50.819672131147541</c:v>
                </c:pt>
                <c:pt idx="60">
                  <c:v>39.598662207357862</c:v>
                </c:pt>
                <c:pt idx="61">
                  <c:v>50.497787610619469</c:v>
                </c:pt>
                <c:pt idx="62">
                  <c:v>44.234592445328033</c:v>
                </c:pt>
                <c:pt idx="63">
                  <c:v>40.035693039857229</c:v>
                </c:pt>
                <c:pt idx="64">
                  <c:v>38.27893175074184</c:v>
                </c:pt>
                <c:pt idx="65">
                  <c:v>43.427076520601702</c:v>
                </c:pt>
                <c:pt idx="66">
                  <c:v>35.166666666666664</c:v>
                </c:pt>
                <c:pt idx="67">
                  <c:v>36.234177215189874</c:v>
                </c:pt>
                <c:pt idx="68">
                  <c:v>43.453897096281203</c:v>
                </c:pt>
                <c:pt idx="69">
                  <c:v>48.370136698212406</c:v>
                </c:pt>
                <c:pt idx="70">
                  <c:v>50.819672131147541</c:v>
                </c:pt>
                <c:pt idx="71">
                  <c:v>53.723404255319146</c:v>
                </c:pt>
                <c:pt idx="72">
                  <c:v>47.549224968579807</c:v>
                </c:pt>
                <c:pt idx="73">
                  <c:v>52.247557003257327</c:v>
                </c:pt>
                <c:pt idx="74">
                  <c:v>31.077504725897921</c:v>
                </c:pt>
                <c:pt idx="75">
                  <c:v>33.969652471855113</c:v>
                </c:pt>
                <c:pt idx="76">
                  <c:v>52.412060301507537</c:v>
                </c:pt>
                <c:pt idx="77">
                  <c:v>54.251012145748987</c:v>
                </c:pt>
                <c:pt idx="78">
                  <c:v>100</c:v>
                </c:pt>
                <c:pt idx="79">
                  <c:v>67.46987951807229</c:v>
                </c:pt>
                <c:pt idx="80">
                  <c:v>44.665153234960272</c:v>
                </c:pt>
                <c:pt idx="81">
                  <c:v>34.619002822201317</c:v>
                </c:pt>
                <c:pt idx="82">
                  <c:v>35.362694300518136</c:v>
                </c:pt>
                <c:pt idx="83">
                  <c:v>39.04</c:v>
                </c:pt>
                <c:pt idx="84">
                  <c:v>35.573122529644266</c:v>
                </c:pt>
                <c:pt idx="85">
                  <c:v>43.721198156682028</c:v>
                </c:pt>
                <c:pt idx="86">
                  <c:v>38.940448569218873</c:v>
                </c:pt>
                <c:pt idx="87">
                  <c:v>38.696701528559935</c:v>
                </c:pt>
                <c:pt idx="88">
                  <c:v>40.17918676774638</c:v>
                </c:pt>
                <c:pt idx="89">
                  <c:v>36.810856658184903</c:v>
                </c:pt>
                <c:pt idx="90">
                  <c:v>34.310722100656456</c:v>
                </c:pt>
                <c:pt idx="91">
                  <c:v>44.636471990464841</c:v>
                </c:pt>
                <c:pt idx="92">
                  <c:v>34.172839506172842</c:v>
                </c:pt>
                <c:pt idx="93">
                  <c:v>0</c:v>
                </c:pt>
                <c:pt idx="94">
                  <c:v>38.10699588477366</c:v>
                </c:pt>
                <c:pt idx="95">
                  <c:v>30.737890448166592</c:v>
                </c:pt>
                <c:pt idx="96">
                  <c:v>52.017167381974247</c:v>
                </c:pt>
                <c:pt idx="97">
                  <c:v>34.624937903626432</c:v>
                </c:pt>
                <c:pt idx="98">
                  <c:v>35.096391497775578</c:v>
                </c:pt>
                <c:pt idx="99">
                  <c:v>42.716535433070867</c:v>
                </c:pt>
                <c:pt idx="100">
                  <c:v>39.681637293916999</c:v>
                </c:pt>
                <c:pt idx="101">
                  <c:v>35.935455734845178</c:v>
                </c:pt>
                <c:pt idx="102">
                  <c:v>33.088235294117645</c:v>
                </c:pt>
                <c:pt idx="103">
                  <c:v>35.335335335335337</c:v>
                </c:pt>
                <c:pt idx="104">
                  <c:v>41.009946442234124</c:v>
                </c:pt>
                <c:pt idx="105">
                  <c:v>70.199587061252586</c:v>
                </c:pt>
                <c:pt idx="106">
                  <c:v>31.322957198443579</c:v>
                </c:pt>
                <c:pt idx="107">
                  <c:v>33.652530779753761</c:v>
                </c:pt>
                <c:pt idx="108">
                  <c:v>33.426378227494766</c:v>
                </c:pt>
                <c:pt idx="109">
                  <c:v>28.27027027027027</c:v>
                </c:pt>
                <c:pt idx="110">
                  <c:v>41.449549976314543</c:v>
                </c:pt>
                <c:pt idx="111">
                  <c:v>54.589371980676326</c:v>
                </c:pt>
                <c:pt idx="112">
                  <c:v>50.391644908616186</c:v>
                </c:pt>
                <c:pt idx="113">
                  <c:v>34.235807860262007</c:v>
                </c:pt>
                <c:pt idx="114">
                  <c:v>32.918702798756108</c:v>
                </c:pt>
                <c:pt idx="115">
                  <c:v>69.944444444444443</c:v>
                </c:pt>
                <c:pt idx="116">
                  <c:v>31.498612395929694</c:v>
                </c:pt>
                <c:pt idx="117">
                  <c:v>39.067055393586003</c:v>
                </c:pt>
                <c:pt idx="118">
                  <c:v>35.846372688477949</c:v>
                </c:pt>
                <c:pt idx="119">
                  <c:v>29.496402877697843</c:v>
                </c:pt>
                <c:pt idx="120">
                  <c:v>36.15023474178404</c:v>
                </c:pt>
                <c:pt idx="121">
                  <c:v>32.619775739041792</c:v>
                </c:pt>
                <c:pt idx="122">
                  <c:v>32.914704343275773</c:v>
                </c:pt>
                <c:pt idx="123">
                  <c:v>36.454703832752614</c:v>
                </c:pt>
                <c:pt idx="124">
                  <c:v>38.655077767612077</c:v>
                </c:pt>
                <c:pt idx="125">
                  <c:v>26.343679031037095</c:v>
                </c:pt>
                <c:pt idx="126">
                  <c:v>27.943661971830984</c:v>
                </c:pt>
                <c:pt idx="127">
                  <c:v>30.517423442449843</c:v>
                </c:pt>
                <c:pt idx="128">
                  <c:v>24.2512077294686</c:v>
                </c:pt>
                <c:pt idx="129">
                  <c:v>25.774134790528233</c:v>
                </c:pt>
                <c:pt idx="130">
                  <c:v>21.677773422187379</c:v>
                </c:pt>
                <c:pt idx="131">
                  <c:v>30.321697467488022</c:v>
                </c:pt>
                <c:pt idx="132">
                  <c:v>53.324468085106382</c:v>
                </c:pt>
                <c:pt idx="133">
                  <c:v>50.189155107187894</c:v>
                </c:pt>
                <c:pt idx="134">
                  <c:v>31.195840554592721</c:v>
                </c:pt>
                <c:pt idx="135">
                  <c:v>44.290976058931861</c:v>
                </c:pt>
                <c:pt idx="136">
                  <c:v>25.843812045003308</c:v>
                </c:pt>
                <c:pt idx="137">
                  <c:v>21.28082736674622</c:v>
                </c:pt>
                <c:pt idx="138">
                  <c:v>25.108412836079793</c:v>
                </c:pt>
                <c:pt idx="139">
                  <c:v>25.090415913200722</c:v>
                </c:pt>
                <c:pt idx="140">
                  <c:v>25.754443985117817</c:v>
                </c:pt>
                <c:pt idx="141">
                  <c:v>23.076923076923077</c:v>
                </c:pt>
                <c:pt idx="142">
                  <c:v>21.449766850360323</c:v>
                </c:pt>
                <c:pt idx="143">
                  <c:v>24.273157538877619</c:v>
                </c:pt>
                <c:pt idx="144">
                  <c:v>16.688918558077436</c:v>
                </c:pt>
                <c:pt idx="145">
                  <c:v>20.277882087870822</c:v>
                </c:pt>
                <c:pt idx="146">
                  <c:v>40.563821456538761</c:v>
                </c:pt>
                <c:pt idx="147">
                  <c:v>33.180987202925046</c:v>
                </c:pt>
                <c:pt idx="148">
                  <c:v>30.681818181818183</c:v>
                </c:pt>
                <c:pt idx="149">
                  <c:v>35.09286412512219</c:v>
                </c:pt>
                <c:pt idx="150">
                  <c:v>36.991150442477874</c:v>
                </c:pt>
                <c:pt idx="151">
                  <c:v>47.942754919499109</c:v>
                </c:pt>
                <c:pt idx="152">
                  <c:v>62.192013593882756</c:v>
                </c:pt>
                <c:pt idx="153">
                  <c:v>31.339977851605759</c:v>
                </c:pt>
                <c:pt idx="154">
                  <c:v>40.958268933539415</c:v>
                </c:pt>
                <c:pt idx="155">
                  <c:v>41.6767189384801</c:v>
                </c:pt>
                <c:pt idx="156">
                  <c:v>23.50187265917603</c:v>
                </c:pt>
              </c:numCache>
            </c:numRef>
          </c:xVal>
          <c:yVal>
            <c:numRef>
              <c:f>'Мособлдума одномандатный №6'!$AH$2:$AH$183</c:f>
              <c:numCache>
                <c:formatCode>0.0</c:formatCode>
                <c:ptCount val="157"/>
                <c:pt idx="0">
                  <c:v>1.9423558897243107</c:v>
                </c:pt>
                <c:pt idx="1">
                  <c:v>2.089864158829676</c:v>
                </c:pt>
                <c:pt idx="2">
                  <c:v>2.0313942751615883</c:v>
                </c:pt>
                <c:pt idx="3">
                  <c:v>2.7681660899653977</c:v>
                </c:pt>
                <c:pt idx="4">
                  <c:v>2.5191675794085433</c:v>
                </c:pt>
                <c:pt idx="5">
                  <c:v>1.634320735444331</c:v>
                </c:pt>
                <c:pt idx="6">
                  <c:v>3.4188034188034186</c:v>
                </c:pt>
                <c:pt idx="7">
                  <c:v>1.2519561815336464</c:v>
                </c:pt>
                <c:pt idx="8">
                  <c:v>1.9047619047619047</c:v>
                </c:pt>
                <c:pt idx="9">
                  <c:v>3.6904761904761907</c:v>
                </c:pt>
                <c:pt idx="10">
                  <c:v>2.6315789473684212</c:v>
                </c:pt>
                <c:pt idx="11">
                  <c:v>1.4128728414442699</c:v>
                </c:pt>
                <c:pt idx="12">
                  <c:v>5.8510638297872344</c:v>
                </c:pt>
                <c:pt idx="13">
                  <c:v>3.5714285714285716</c:v>
                </c:pt>
                <c:pt idx="14">
                  <c:v>3.8869257950530036</c:v>
                </c:pt>
                <c:pt idx="15">
                  <c:v>4.8192771084337354</c:v>
                </c:pt>
                <c:pt idx="16">
                  <c:v>6.25</c:v>
                </c:pt>
                <c:pt idx="17">
                  <c:v>3.4210526315789473</c:v>
                </c:pt>
                <c:pt idx="18">
                  <c:v>2.2836538461538463</c:v>
                </c:pt>
                <c:pt idx="19">
                  <c:v>2.800829875518672</c:v>
                </c:pt>
                <c:pt idx="20">
                  <c:v>4.1474654377880187</c:v>
                </c:pt>
                <c:pt idx="21">
                  <c:v>2.1604938271604937</c:v>
                </c:pt>
                <c:pt idx="22">
                  <c:v>4.896142433234421</c:v>
                </c:pt>
                <c:pt idx="23">
                  <c:v>1.6971279373368147</c:v>
                </c:pt>
                <c:pt idx="24">
                  <c:v>3.5816618911174785</c:v>
                </c:pt>
                <c:pt idx="25">
                  <c:v>3.2704402515723272</c:v>
                </c:pt>
                <c:pt idx="26">
                  <c:v>1.7960230917254651</c:v>
                </c:pt>
                <c:pt idx="27">
                  <c:v>2.0926756352765321</c:v>
                </c:pt>
                <c:pt idx="28">
                  <c:v>2.6315789473684212</c:v>
                </c:pt>
                <c:pt idx="29">
                  <c:v>1.8072289156626506</c:v>
                </c:pt>
                <c:pt idx="30">
                  <c:v>1.2544802867383513</c:v>
                </c:pt>
                <c:pt idx="31">
                  <c:v>2.8288543140028288</c:v>
                </c:pt>
                <c:pt idx="32">
                  <c:v>3.0864197530864197</c:v>
                </c:pt>
                <c:pt idx="33">
                  <c:v>4.0955631399317403</c:v>
                </c:pt>
                <c:pt idx="34">
                  <c:v>5.5327868852459012</c:v>
                </c:pt>
                <c:pt idx="35">
                  <c:v>4.5669291338582676</c:v>
                </c:pt>
                <c:pt idx="36">
                  <c:v>4.2071197411003238</c:v>
                </c:pt>
                <c:pt idx="37">
                  <c:v>3.9267015706806281</c:v>
                </c:pt>
                <c:pt idx="38">
                  <c:v>3.1729785056294779</c:v>
                </c:pt>
                <c:pt idx="39">
                  <c:v>3.9735099337748343</c:v>
                </c:pt>
                <c:pt idx="40">
                  <c:v>1.6908212560386473</c:v>
                </c:pt>
                <c:pt idx="41">
                  <c:v>2.6871401151631478</c:v>
                </c:pt>
                <c:pt idx="42">
                  <c:v>3.6363636363636362</c:v>
                </c:pt>
                <c:pt idx="43">
                  <c:v>4.6620046620046622</c:v>
                </c:pt>
                <c:pt idx="44">
                  <c:v>2.2206800832755031</c:v>
                </c:pt>
                <c:pt idx="45">
                  <c:v>3.0701754385964914</c:v>
                </c:pt>
                <c:pt idx="46">
                  <c:v>3.2163742690058479</c:v>
                </c:pt>
                <c:pt idx="47">
                  <c:v>2.6246719160104988</c:v>
                </c:pt>
                <c:pt idx="48">
                  <c:v>3.9235412474849096</c:v>
                </c:pt>
                <c:pt idx="49">
                  <c:v>2.8639618138424821</c:v>
                </c:pt>
                <c:pt idx="50">
                  <c:v>3.9387308533916849</c:v>
                </c:pt>
                <c:pt idx="51">
                  <c:v>2.8021015761821366</c:v>
                </c:pt>
                <c:pt idx="52">
                  <c:v>4.438642297650131</c:v>
                </c:pt>
                <c:pt idx="53">
                  <c:v>5.7339449541284404</c:v>
                </c:pt>
                <c:pt idx="54">
                  <c:v>2.5316455696202533</c:v>
                </c:pt>
                <c:pt idx="55">
                  <c:v>1.7527675276752768</c:v>
                </c:pt>
                <c:pt idx="56">
                  <c:v>2.9315960912052117</c:v>
                </c:pt>
                <c:pt idx="57">
                  <c:v>4.2953020134228188</c:v>
                </c:pt>
                <c:pt idx="58">
                  <c:v>1.7482517482517483</c:v>
                </c:pt>
                <c:pt idx="59">
                  <c:v>2.838709677419355</c:v>
                </c:pt>
                <c:pt idx="60">
                  <c:v>3.2094594594594597</c:v>
                </c:pt>
                <c:pt idx="61">
                  <c:v>4.9342105263157894</c:v>
                </c:pt>
                <c:pt idx="62">
                  <c:v>3.2183908045977012</c:v>
                </c:pt>
                <c:pt idx="63">
                  <c:v>2.0926756352765321</c:v>
                </c:pt>
                <c:pt idx="64">
                  <c:v>3.8759689922480618</c:v>
                </c:pt>
                <c:pt idx="65">
                  <c:v>2.2590361445783134</c:v>
                </c:pt>
                <c:pt idx="66">
                  <c:v>3.1595576619273302</c:v>
                </c:pt>
                <c:pt idx="67">
                  <c:v>3.9123630672926448</c:v>
                </c:pt>
                <c:pt idx="68">
                  <c:v>2.9308323563892147</c:v>
                </c:pt>
                <c:pt idx="69">
                  <c:v>2.0652173913043477</c:v>
                </c:pt>
                <c:pt idx="70">
                  <c:v>1.9115890083632019</c:v>
                </c:pt>
                <c:pt idx="71">
                  <c:v>2.2630834512022631</c:v>
                </c:pt>
                <c:pt idx="72">
                  <c:v>1.9383259911894273</c:v>
                </c:pt>
                <c:pt idx="73">
                  <c:v>2.3690773067331672</c:v>
                </c:pt>
                <c:pt idx="74">
                  <c:v>3.4063260340632602</c:v>
                </c:pt>
                <c:pt idx="75">
                  <c:v>2.4495677233429394</c:v>
                </c:pt>
                <c:pt idx="76">
                  <c:v>3.3695652173913042</c:v>
                </c:pt>
                <c:pt idx="77">
                  <c:v>1.7045454545454546</c:v>
                </c:pt>
                <c:pt idx="78">
                  <c:v>1.1235955056179776</c:v>
                </c:pt>
                <c:pt idx="79">
                  <c:v>1.7857142857142858</c:v>
                </c:pt>
                <c:pt idx="80">
                  <c:v>3.8119440914866582</c:v>
                </c:pt>
                <c:pt idx="81">
                  <c:v>5.1630434782608692</c:v>
                </c:pt>
                <c:pt idx="82">
                  <c:v>4.2735042735042734</c:v>
                </c:pt>
                <c:pt idx="83">
                  <c:v>1.8518518518518519</c:v>
                </c:pt>
                <c:pt idx="84">
                  <c:v>3.5555555555555554</c:v>
                </c:pt>
                <c:pt idx="85">
                  <c:v>3.5519125683060109</c:v>
                </c:pt>
                <c:pt idx="86">
                  <c:v>4.0709812108559502</c:v>
                </c:pt>
                <c:pt idx="87">
                  <c:v>5.46218487394958</c:v>
                </c:pt>
                <c:pt idx="88">
                  <c:v>3.2590051457975986</c:v>
                </c:pt>
                <c:pt idx="89">
                  <c:v>4.6082949308755756</c:v>
                </c:pt>
                <c:pt idx="90">
                  <c:v>3.3163265306122449</c:v>
                </c:pt>
                <c:pt idx="91">
                  <c:v>2.912621359223301</c:v>
                </c:pt>
                <c:pt idx="92">
                  <c:v>2.745664739884393</c:v>
                </c:pt>
                <c:pt idx="93">
                  <c:v>0</c:v>
                </c:pt>
                <c:pt idx="94">
                  <c:v>2.3783783783783785</c:v>
                </c:pt>
                <c:pt idx="95">
                  <c:v>2.7982326951399115</c:v>
                </c:pt>
                <c:pt idx="96">
                  <c:v>2.3102310231023102</c:v>
                </c:pt>
                <c:pt idx="97">
                  <c:v>4.2042042042042045</c:v>
                </c:pt>
                <c:pt idx="98">
                  <c:v>3.9772727272727271</c:v>
                </c:pt>
                <c:pt idx="99">
                  <c:v>3.1605562579013906</c:v>
                </c:pt>
                <c:pt idx="100">
                  <c:v>3.1609195402298851</c:v>
                </c:pt>
                <c:pt idx="101">
                  <c:v>4.2475728155339807</c:v>
                </c:pt>
                <c:pt idx="102">
                  <c:v>3.75</c:v>
                </c:pt>
                <c:pt idx="103">
                  <c:v>5.524079320113314</c:v>
                </c:pt>
                <c:pt idx="104">
                  <c:v>4.6641791044776122</c:v>
                </c:pt>
                <c:pt idx="105">
                  <c:v>4.8780487804878048</c:v>
                </c:pt>
                <c:pt idx="106">
                  <c:v>6.004140786749482</c:v>
                </c:pt>
                <c:pt idx="107">
                  <c:v>3.6585365853658538</c:v>
                </c:pt>
                <c:pt idx="108">
                  <c:v>1.8789144050104385</c:v>
                </c:pt>
                <c:pt idx="109">
                  <c:v>3.0592734225621414</c:v>
                </c:pt>
                <c:pt idx="110">
                  <c:v>2.7428571428571429</c:v>
                </c:pt>
                <c:pt idx="111">
                  <c:v>1.9469026548672566</c:v>
                </c:pt>
                <c:pt idx="112">
                  <c:v>1.6614745586708204</c:v>
                </c:pt>
                <c:pt idx="113">
                  <c:v>3.6316472114137484</c:v>
                </c:pt>
                <c:pt idx="114">
                  <c:v>3.5087719298245612</c:v>
                </c:pt>
                <c:pt idx="115">
                  <c:v>1.6679904686258935</c:v>
                </c:pt>
                <c:pt idx="116">
                  <c:v>3.2305433186490453</c:v>
                </c:pt>
                <c:pt idx="117">
                  <c:v>2.9487179487179489</c:v>
                </c:pt>
                <c:pt idx="118">
                  <c:v>3.225806451612903</c:v>
                </c:pt>
                <c:pt idx="119">
                  <c:v>2.7173913043478262</c:v>
                </c:pt>
                <c:pt idx="120">
                  <c:v>3.8961038961038961</c:v>
                </c:pt>
                <c:pt idx="121">
                  <c:v>2.1875</c:v>
                </c:pt>
                <c:pt idx="122">
                  <c:v>4.7694753577106521</c:v>
                </c:pt>
                <c:pt idx="123">
                  <c:v>3.4855769230769229</c:v>
                </c:pt>
                <c:pt idx="124">
                  <c:v>2.9868578255675029</c:v>
                </c:pt>
                <c:pt idx="125">
                  <c:v>3.5919540229885056</c:v>
                </c:pt>
                <c:pt idx="126">
                  <c:v>3.8306451612903225</c:v>
                </c:pt>
                <c:pt idx="127">
                  <c:v>5.882352941176471</c:v>
                </c:pt>
                <c:pt idx="128">
                  <c:v>4.435483870967742</c:v>
                </c:pt>
                <c:pt idx="129">
                  <c:v>3.8869257950530036</c:v>
                </c:pt>
                <c:pt idx="130">
                  <c:v>3.2549728752260396</c:v>
                </c:pt>
                <c:pt idx="131">
                  <c:v>2.3702031602708802</c:v>
                </c:pt>
                <c:pt idx="132">
                  <c:v>3.7878787878787881</c:v>
                </c:pt>
                <c:pt idx="133">
                  <c:v>5.177111716621253</c:v>
                </c:pt>
                <c:pt idx="134">
                  <c:v>2.8142589118198873</c:v>
                </c:pt>
                <c:pt idx="135">
                  <c:v>3.5416666666666665</c:v>
                </c:pt>
                <c:pt idx="136">
                  <c:v>6.7948717948717947</c:v>
                </c:pt>
                <c:pt idx="137">
                  <c:v>7.1028037383177569</c:v>
                </c:pt>
                <c:pt idx="138">
                  <c:v>5.5267702936096716</c:v>
                </c:pt>
                <c:pt idx="139">
                  <c:v>3.266787658802178</c:v>
                </c:pt>
                <c:pt idx="140">
                  <c:v>3.852327447833066</c:v>
                </c:pt>
                <c:pt idx="141">
                  <c:v>3.258655804480652</c:v>
                </c:pt>
                <c:pt idx="142">
                  <c:v>3.1809145129224654</c:v>
                </c:pt>
                <c:pt idx="143">
                  <c:v>3.7604456824512535</c:v>
                </c:pt>
                <c:pt idx="144">
                  <c:v>6.7226890756302522</c:v>
                </c:pt>
                <c:pt idx="145">
                  <c:v>5.1851851851851851</c:v>
                </c:pt>
                <c:pt idx="146">
                  <c:v>3.281853281853282</c:v>
                </c:pt>
                <c:pt idx="147">
                  <c:v>6.6115702479338845</c:v>
                </c:pt>
                <c:pt idx="148">
                  <c:v>4.7619047619047619</c:v>
                </c:pt>
                <c:pt idx="149">
                  <c:v>2.785515320334262</c:v>
                </c:pt>
                <c:pt idx="150">
                  <c:v>3.0357142857142856</c:v>
                </c:pt>
                <c:pt idx="151">
                  <c:v>3.6114570361145701</c:v>
                </c:pt>
                <c:pt idx="152">
                  <c:v>1.8442622950819672</c:v>
                </c:pt>
                <c:pt idx="153">
                  <c:v>2.8268551236749118</c:v>
                </c:pt>
                <c:pt idx="154">
                  <c:v>1.5094339622641511</c:v>
                </c:pt>
                <c:pt idx="155">
                  <c:v>1.3024602026049203</c:v>
                </c:pt>
                <c:pt idx="156">
                  <c:v>6.3745019920318722</c:v>
                </c:pt>
              </c:numCache>
            </c:numRef>
          </c:yVal>
          <c:bubbleSize>
            <c:numRef>
              <c:f>'Мособлдума одномандатный №6'!$J$2:$J$183</c:f>
              <c:numCache>
                <c:formatCode>General</c:formatCode>
                <c:ptCount val="157"/>
                <c:pt idx="0">
                  <c:v>2451</c:v>
                </c:pt>
                <c:pt idx="1">
                  <c:v>1792</c:v>
                </c:pt>
                <c:pt idx="2">
                  <c:v>1987</c:v>
                </c:pt>
                <c:pt idx="3">
                  <c:v>2122</c:v>
                </c:pt>
                <c:pt idx="4">
                  <c:v>1909</c:v>
                </c:pt>
                <c:pt idx="5">
                  <c:v>1948</c:v>
                </c:pt>
                <c:pt idx="6">
                  <c:v>1966</c:v>
                </c:pt>
                <c:pt idx="7">
                  <c:v>1755</c:v>
                </c:pt>
                <c:pt idx="8">
                  <c:v>2053</c:v>
                </c:pt>
                <c:pt idx="9">
                  <c:v>2353</c:v>
                </c:pt>
                <c:pt idx="10">
                  <c:v>2236</c:v>
                </c:pt>
                <c:pt idx="11">
                  <c:v>878</c:v>
                </c:pt>
                <c:pt idx="12">
                  <c:v>1109</c:v>
                </c:pt>
                <c:pt idx="13">
                  <c:v>2346</c:v>
                </c:pt>
                <c:pt idx="14">
                  <c:v>1222</c:v>
                </c:pt>
                <c:pt idx="15">
                  <c:v>1986</c:v>
                </c:pt>
                <c:pt idx="16">
                  <c:v>377</c:v>
                </c:pt>
                <c:pt idx="17">
                  <c:v>1248</c:v>
                </c:pt>
                <c:pt idx="18">
                  <c:v>1716</c:v>
                </c:pt>
                <c:pt idx="19">
                  <c:v>2695</c:v>
                </c:pt>
                <c:pt idx="20">
                  <c:v>1800</c:v>
                </c:pt>
                <c:pt idx="21">
                  <c:v>2108</c:v>
                </c:pt>
                <c:pt idx="22">
                  <c:v>2215</c:v>
                </c:pt>
                <c:pt idx="23">
                  <c:v>2112</c:v>
                </c:pt>
                <c:pt idx="24">
                  <c:v>2268</c:v>
                </c:pt>
                <c:pt idx="25">
                  <c:v>2112</c:v>
                </c:pt>
                <c:pt idx="26">
                  <c:v>2579</c:v>
                </c:pt>
                <c:pt idx="27">
                  <c:v>1659</c:v>
                </c:pt>
                <c:pt idx="28">
                  <c:v>1947</c:v>
                </c:pt>
                <c:pt idx="29">
                  <c:v>857</c:v>
                </c:pt>
                <c:pt idx="30">
                  <c:v>1412</c:v>
                </c:pt>
                <c:pt idx="31">
                  <c:v>2047</c:v>
                </c:pt>
                <c:pt idx="32">
                  <c:v>536</c:v>
                </c:pt>
                <c:pt idx="33">
                  <c:v>1745</c:v>
                </c:pt>
                <c:pt idx="34">
                  <c:v>1453</c:v>
                </c:pt>
                <c:pt idx="35">
                  <c:v>1496</c:v>
                </c:pt>
                <c:pt idx="36">
                  <c:v>2669</c:v>
                </c:pt>
                <c:pt idx="37">
                  <c:v>2799</c:v>
                </c:pt>
                <c:pt idx="38">
                  <c:v>2544</c:v>
                </c:pt>
                <c:pt idx="39">
                  <c:v>1670</c:v>
                </c:pt>
                <c:pt idx="40">
                  <c:v>1891</c:v>
                </c:pt>
                <c:pt idx="41">
                  <c:v>1984</c:v>
                </c:pt>
                <c:pt idx="42">
                  <c:v>628</c:v>
                </c:pt>
                <c:pt idx="43">
                  <c:v>1469</c:v>
                </c:pt>
                <c:pt idx="44">
                  <c:v>2564</c:v>
                </c:pt>
                <c:pt idx="45">
                  <c:v>711</c:v>
                </c:pt>
                <c:pt idx="46">
                  <c:v>676</c:v>
                </c:pt>
                <c:pt idx="47">
                  <c:v>1747</c:v>
                </c:pt>
                <c:pt idx="48">
                  <c:v>1907</c:v>
                </c:pt>
                <c:pt idx="49">
                  <c:v>1194</c:v>
                </c:pt>
                <c:pt idx="50">
                  <c:v>1129</c:v>
                </c:pt>
                <c:pt idx="51">
                  <c:v>1498</c:v>
                </c:pt>
                <c:pt idx="52">
                  <c:v>1859</c:v>
                </c:pt>
                <c:pt idx="53">
                  <c:v>1315</c:v>
                </c:pt>
                <c:pt idx="54">
                  <c:v>1300</c:v>
                </c:pt>
                <c:pt idx="55">
                  <c:v>2038</c:v>
                </c:pt>
                <c:pt idx="56">
                  <c:v>1190</c:v>
                </c:pt>
                <c:pt idx="57">
                  <c:v>1521</c:v>
                </c:pt>
                <c:pt idx="58">
                  <c:v>710</c:v>
                </c:pt>
                <c:pt idx="59">
                  <c:v>1525</c:v>
                </c:pt>
                <c:pt idx="60">
                  <c:v>1495</c:v>
                </c:pt>
                <c:pt idx="61">
                  <c:v>1808</c:v>
                </c:pt>
                <c:pt idx="62">
                  <c:v>2012</c:v>
                </c:pt>
                <c:pt idx="63">
                  <c:v>1681</c:v>
                </c:pt>
                <c:pt idx="64">
                  <c:v>1685</c:v>
                </c:pt>
                <c:pt idx="65">
                  <c:v>1529</c:v>
                </c:pt>
                <c:pt idx="66">
                  <c:v>1800</c:v>
                </c:pt>
                <c:pt idx="67">
                  <c:v>1896</c:v>
                </c:pt>
                <c:pt idx="68">
                  <c:v>1963</c:v>
                </c:pt>
                <c:pt idx="69">
                  <c:v>1902</c:v>
                </c:pt>
                <c:pt idx="70">
                  <c:v>1647</c:v>
                </c:pt>
                <c:pt idx="71">
                  <c:v>1316</c:v>
                </c:pt>
                <c:pt idx="72">
                  <c:v>2387</c:v>
                </c:pt>
                <c:pt idx="73">
                  <c:v>1535</c:v>
                </c:pt>
                <c:pt idx="74">
                  <c:v>2645</c:v>
                </c:pt>
                <c:pt idx="75">
                  <c:v>2043</c:v>
                </c:pt>
                <c:pt idx="76">
                  <c:v>1990</c:v>
                </c:pt>
                <c:pt idx="77">
                  <c:v>988</c:v>
                </c:pt>
                <c:pt idx="78">
                  <c:v>89</c:v>
                </c:pt>
                <c:pt idx="79">
                  <c:v>83</c:v>
                </c:pt>
                <c:pt idx="80">
                  <c:v>1762</c:v>
                </c:pt>
                <c:pt idx="81">
                  <c:v>1063</c:v>
                </c:pt>
                <c:pt idx="82">
                  <c:v>2316</c:v>
                </c:pt>
                <c:pt idx="83">
                  <c:v>1250</c:v>
                </c:pt>
                <c:pt idx="84">
                  <c:v>1265</c:v>
                </c:pt>
                <c:pt idx="85">
                  <c:v>1736</c:v>
                </c:pt>
                <c:pt idx="86">
                  <c:v>2586</c:v>
                </c:pt>
                <c:pt idx="87">
                  <c:v>1243</c:v>
                </c:pt>
                <c:pt idx="88">
                  <c:v>1451</c:v>
                </c:pt>
                <c:pt idx="89">
                  <c:v>1179</c:v>
                </c:pt>
                <c:pt idx="90">
                  <c:v>2285</c:v>
                </c:pt>
                <c:pt idx="91">
                  <c:v>1678</c:v>
                </c:pt>
                <c:pt idx="92">
                  <c:v>2025</c:v>
                </c:pt>
                <c:pt idx="93">
                  <c:v>0</c:v>
                </c:pt>
                <c:pt idx="94">
                  <c:v>2430</c:v>
                </c:pt>
                <c:pt idx="95">
                  <c:v>2209</c:v>
                </c:pt>
                <c:pt idx="96">
                  <c:v>2330</c:v>
                </c:pt>
                <c:pt idx="97">
                  <c:v>2013</c:v>
                </c:pt>
                <c:pt idx="98">
                  <c:v>2023</c:v>
                </c:pt>
                <c:pt idx="99">
                  <c:v>2032</c:v>
                </c:pt>
                <c:pt idx="100">
                  <c:v>1759</c:v>
                </c:pt>
                <c:pt idx="101">
                  <c:v>2293</c:v>
                </c:pt>
                <c:pt idx="102">
                  <c:v>2176</c:v>
                </c:pt>
                <c:pt idx="103">
                  <c:v>1998</c:v>
                </c:pt>
                <c:pt idx="104">
                  <c:v>1307</c:v>
                </c:pt>
                <c:pt idx="105">
                  <c:v>1453</c:v>
                </c:pt>
                <c:pt idx="106">
                  <c:v>1542</c:v>
                </c:pt>
                <c:pt idx="107">
                  <c:v>1462</c:v>
                </c:pt>
                <c:pt idx="108">
                  <c:v>1433</c:v>
                </c:pt>
                <c:pt idx="109">
                  <c:v>1850</c:v>
                </c:pt>
                <c:pt idx="110">
                  <c:v>2111</c:v>
                </c:pt>
                <c:pt idx="111">
                  <c:v>1035</c:v>
                </c:pt>
                <c:pt idx="112">
                  <c:v>1915</c:v>
                </c:pt>
                <c:pt idx="113">
                  <c:v>2290</c:v>
                </c:pt>
                <c:pt idx="114">
                  <c:v>2251</c:v>
                </c:pt>
                <c:pt idx="115">
                  <c:v>1800</c:v>
                </c:pt>
                <c:pt idx="116">
                  <c:v>2162</c:v>
                </c:pt>
                <c:pt idx="117">
                  <c:v>2058</c:v>
                </c:pt>
                <c:pt idx="118">
                  <c:v>2109</c:v>
                </c:pt>
                <c:pt idx="119">
                  <c:v>1251</c:v>
                </c:pt>
                <c:pt idx="120">
                  <c:v>1278</c:v>
                </c:pt>
                <c:pt idx="121">
                  <c:v>981</c:v>
                </c:pt>
                <c:pt idx="122">
                  <c:v>1911</c:v>
                </c:pt>
                <c:pt idx="123">
                  <c:v>2296</c:v>
                </c:pt>
                <c:pt idx="124">
                  <c:v>2186</c:v>
                </c:pt>
                <c:pt idx="125">
                  <c:v>2642</c:v>
                </c:pt>
                <c:pt idx="126">
                  <c:v>1775</c:v>
                </c:pt>
                <c:pt idx="127">
                  <c:v>1894</c:v>
                </c:pt>
                <c:pt idx="128">
                  <c:v>2070</c:v>
                </c:pt>
                <c:pt idx="129">
                  <c:v>2196</c:v>
                </c:pt>
                <c:pt idx="130">
                  <c:v>2551</c:v>
                </c:pt>
                <c:pt idx="131">
                  <c:v>2922</c:v>
                </c:pt>
                <c:pt idx="132">
                  <c:v>752</c:v>
                </c:pt>
                <c:pt idx="133">
                  <c:v>793</c:v>
                </c:pt>
                <c:pt idx="134">
                  <c:v>1731</c:v>
                </c:pt>
                <c:pt idx="135">
                  <c:v>1086</c:v>
                </c:pt>
                <c:pt idx="136">
                  <c:v>3022</c:v>
                </c:pt>
                <c:pt idx="137">
                  <c:v>2514</c:v>
                </c:pt>
                <c:pt idx="138">
                  <c:v>2306</c:v>
                </c:pt>
                <c:pt idx="139">
                  <c:v>2212</c:v>
                </c:pt>
                <c:pt idx="140">
                  <c:v>2419</c:v>
                </c:pt>
                <c:pt idx="141">
                  <c:v>2132</c:v>
                </c:pt>
                <c:pt idx="142">
                  <c:v>2359</c:v>
                </c:pt>
                <c:pt idx="143">
                  <c:v>2958</c:v>
                </c:pt>
                <c:pt idx="144">
                  <c:v>749</c:v>
                </c:pt>
                <c:pt idx="145">
                  <c:v>2663</c:v>
                </c:pt>
                <c:pt idx="146">
                  <c:v>1277</c:v>
                </c:pt>
                <c:pt idx="147">
                  <c:v>1094</c:v>
                </c:pt>
                <c:pt idx="148">
                  <c:v>1232</c:v>
                </c:pt>
                <c:pt idx="149">
                  <c:v>1023</c:v>
                </c:pt>
                <c:pt idx="150">
                  <c:v>1695</c:v>
                </c:pt>
                <c:pt idx="151">
                  <c:v>1677</c:v>
                </c:pt>
                <c:pt idx="152">
                  <c:v>2354</c:v>
                </c:pt>
                <c:pt idx="153">
                  <c:v>1806</c:v>
                </c:pt>
                <c:pt idx="154">
                  <c:v>1294</c:v>
                </c:pt>
                <c:pt idx="155">
                  <c:v>1658</c:v>
                </c:pt>
                <c:pt idx="156">
                  <c:v>1068</c:v>
                </c:pt>
              </c:numCache>
            </c:numRef>
          </c:bubbleSize>
          <c:bubble3D val="0"/>
          <c:extLst>
            <c:ext xmlns:c16="http://schemas.microsoft.com/office/drawing/2014/chart" uri="{C3380CC4-5D6E-409C-BE32-E72D297353CC}">
              <c16:uniqueId val="{00000003-0635-4CC9-A990-39CC245ADBA1}"/>
            </c:ext>
          </c:extLst>
        </c:ser>
        <c:ser>
          <c:idx val="12"/>
          <c:order val="4"/>
          <c:tx>
            <c:strRef>
              <c:f>'Мособлдума одномандатный №6'!$AJ$1</c:f>
              <c:strCache>
                <c:ptCount val="1"/>
                <c:pt idx="0">
                  <c:v>Лазутина (Единая Россия)</c:v>
                </c:pt>
              </c:strCache>
            </c:strRef>
          </c:tx>
          <c:spPr>
            <a:solidFill>
              <a:srgbClr val="0000FF">
                <a:alpha val="49804"/>
              </a:srgbClr>
            </a:solidFill>
            <a:ln w="25400">
              <a:noFill/>
            </a:ln>
          </c:spPr>
          <c:invertIfNegative val="0"/>
          <c:xVal>
            <c:numRef>
              <c:f>'Мособлдума одномандатный №6'!$O$2:$O$183</c:f>
              <c:numCache>
                <c:formatCode>0.0</c:formatCode>
                <c:ptCount val="157"/>
                <c:pt idx="0">
                  <c:v>65.116279069767444</c:v>
                </c:pt>
                <c:pt idx="1">
                  <c:v>53.515625</c:v>
                </c:pt>
                <c:pt idx="2">
                  <c:v>54.705586311021641</c:v>
                </c:pt>
                <c:pt idx="3">
                  <c:v>54.665409990574929</c:v>
                </c:pt>
                <c:pt idx="4">
                  <c:v>48.402304871660554</c:v>
                </c:pt>
                <c:pt idx="5">
                  <c:v>50.256673511293634</c:v>
                </c:pt>
                <c:pt idx="6">
                  <c:v>59.511698880976603</c:v>
                </c:pt>
                <c:pt idx="7">
                  <c:v>73.105413105413106</c:v>
                </c:pt>
                <c:pt idx="8">
                  <c:v>71.602532878714072</c:v>
                </c:pt>
                <c:pt idx="9">
                  <c:v>35.954101147471313</c:v>
                </c:pt>
                <c:pt idx="10">
                  <c:v>25.491949910554563</c:v>
                </c:pt>
                <c:pt idx="11">
                  <c:v>72.551252847380411</c:v>
                </c:pt>
                <c:pt idx="12">
                  <c:v>50.85662759242561</c:v>
                </c:pt>
                <c:pt idx="13">
                  <c:v>34.612105711849956</c:v>
                </c:pt>
                <c:pt idx="14">
                  <c:v>46.317512274959086</c:v>
                </c:pt>
                <c:pt idx="15">
                  <c:v>29.254783484390735</c:v>
                </c:pt>
                <c:pt idx="16">
                  <c:v>42.440318302387269</c:v>
                </c:pt>
                <c:pt idx="17">
                  <c:v>30.929487179487179</c:v>
                </c:pt>
                <c:pt idx="18">
                  <c:v>48.484848484848484</c:v>
                </c:pt>
                <c:pt idx="19">
                  <c:v>35.881261595547308</c:v>
                </c:pt>
                <c:pt idx="20">
                  <c:v>24.111111111111111</c:v>
                </c:pt>
                <c:pt idx="21">
                  <c:v>46.110056925996204</c:v>
                </c:pt>
                <c:pt idx="22">
                  <c:v>30.474040632054177</c:v>
                </c:pt>
                <c:pt idx="23">
                  <c:v>36.268939393939391</c:v>
                </c:pt>
                <c:pt idx="24">
                  <c:v>32.671957671957671</c:v>
                </c:pt>
                <c:pt idx="25">
                  <c:v>37.642045454545453</c:v>
                </c:pt>
                <c:pt idx="26">
                  <c:v>60.449786739046139</c:v>
                </c:pt>
                <c:pt idx="27">
                  <c:v>80.650994575045203</c:v>
                </c:pt>
                <c:pt idx="28">
                  <c:v>37.082691319979453</c:v>
                </c:pt>
                <c:pt idx="29">
                  <c:v>38.739789964994166</c:v>
                </c:pt>
                <c:pt idx="30">
                  <c:v>39.518413597733712</c:v>
                </c:pt>
                <c:pt idx="31">
                  <c:v>34.831460674157306</c:v>
                </c:pt>
                <c:pt idx="32">
                  <c:v>30.223880597014926</c:v>
                </c:pt>
                <c:pt idx="33">
                  <c:v>33.638968481375358</c:v>
                </c:pt>
                <c:pt idx="34">
                  <c:v>33.585684790089473</c:v>
                </c:pt>
                <c:pt idx="35">
                  <c:v>42.446524064171122</c:v>
                </c:pt>
                <c:pt idx="36">
                  <c:v>34.732109404271263</c:v>
                </c:pt>
                <c:pt idx="37">
                  <c:v>27.295462665237586</c:v>
                </c:pt>
                <c:pt idx="38">
                  <c:v>38.404088050314463</c:v>
                </c:pt>
                <c:pt idx="39">
                  <c:v>36.167664670658681</c:v>
                </c:pt>
                <c:pt idx="40">
                  <c:v>43.786356425171867</c:v>
                </c:pt>
                <c:pt idx="41">
                  <c:v>26.260080645161292</c:v>
                </c:pt>
                <c:pt idx="42">
                  <c:v>26.273885350318473</c:v>
                </c:pt>
                <c:pt idx="43">
                  <c:v>29.20353982300885</c:v>
                </c:pt>
                <c:pt idx="44">
                  <c:v>56.201248049922</c:v>
                </c:pt>
                <c:pt idx="45">
                  <c:v>64.135021097046419</c:v>
                </c:pt>
                <c:pt idx="46">
                  <c:v>50.591715976331358</c:v>
                </c:pt>
                <c:pt idx="47">
                  <c:v>43.617630223239843</c:v>
                </c:pt>
                <c:pt idx="48">
                  <c:v>52.123754588358679</c:v>
                </c:pt>
                <c:pt idx="49">
                  <c:v>37.353433835845898</c:v>
                </c:pt>
                <c:pt idx="50">
                  <c:v>40.566873339238263</c:v>
                </c:pt>
                <c:pt idx="51">
                  <c:v>39.118825100133513</c:v>
                </c:pt>
                <c:pt idx="52">
                  <c:v>20.602474448628296</c:v>
                </c:pt>
                <c:pt idx="53">
                  <c:v>33.231939163498097</c:v>
                </c:pt>
                <c:pt idx="54">
                  <c:v>48.615384615384613</c:v>
                </c:pt>
                <c:pt idx="55">
                  <c:v>53.189401373895976</c:v>
                </c:pt>
                <c:pt idx="56">
                  <c:v>58.823529411764703</c:v>
                </c:pt>
                <c:pt idx="57">
                  <c:v>48.980933596318209</c:v>
                </c:pt>
                <c:pt idx="58">
                  <c:v>40.422535211267608</c:v>
                </c:pt>
                <c:pt idx="59">
                  <c:v>50.819672131147541</c:v>
                </c:pt>
                <c:pt idx="60">
                  <c:v>39.598662207357862</c:v>
                </c:pt>
                <c:pt idx="61">
                  <c:v>50.497787610619469</c:v>
                </c:pt>
                <c:pt idx="62">
                  <c:v>44.234592445328033</c:v>
                </c:pt>
                <c:pt idx="63">
                  <c:v>40.035693039857229</c:v>
                </c:pt>
                <c:pt idx="64">
                  <c:v>38.27893175074184</c:v>
                </c:pt>
                <c:pt idx="65">
                  <c:v>43.427076520601702</c:v>
                </c:pt>
                <c:pt idx="66">
                  <c:v>35.166666666666664</c:v>
                </c:pt>
                <c:pt idx="67">
                  <c:v>36.234177215189874</c:v>
                </c:pt>
                <c:pt idx="68">
                  <c:v>43.453897096281203</c:v>
                </c:pt>
                <c:pt idx="69">
                  <c:v>48.370136698212406</c:v>
                </c:pt>
                <c:pt idx="70">
                  <c:v>50.819672131147541</c:v>
                </c:pt>
                <c:pt idx="71">
                  <c:v>53.723404255319146</c:v>
                </c:pt>
                <c:pt idx="72">
                  <c:v>47.549224968579807</c:v>
                </c:pt>
                <c:pt idx="73">
                  <c:v>52.247557003257327</c:v>
                </c:pt>
                <c:pt idx="74">
                  <c:v>31.077504725897921</c:v>
                </c:pt>
                <c:pt idx="75">
                  <c:v>33.969652471855113</c:v>
                </c:pt>
                <c:pt idx="76">
                  <c:v>52.412060301507537</c:v>
                </c:pt>
                <c:pt idx="77">
                  <c:v>54.251012145748987</c:v>
                </c:pt>
                <c:pt idx="78">
                  <c:v>100</c:v>
                </c:pt>
                <c:pt idx="79">
                  <c:v>67.46987951807229</c:v>
                </c:pt>
                <c:pt idx="80">
                  <c:v>44.665153234960272</c:v>
                </c:pt>
                <c:pt idx="81">
                  <c:v>34.619002822201317</c:v>
                </c:pt>
                <c:pt idx="82">
                  <c:v>35.362694300518136</c:v>
                </c:pt>
                <c:pt idx="83">
                  <c:v>39.04</c:v>
                </c:pt>
                <c:pt idx="84">
                  <c:v>35.573122529644266</c:v>
                </c:pt>
                <c:pt idx="85">
                  <c:v>43.721198156682028</c:v>
                </c:pt>
                <c:pt idx="86">
                  <c:v>38.940448569218873</c:v>
                </c:pt>
                <c:pt idx="87">
                  <c:v>38.696701528559935</c:v>
                </c:pt>
                <c:pt idx="88">
                  <c:v>40.17918676774638</c:v>
                </c:pt>
                <c:pt idx="89">
                  <c:v>36.810856658184903</c:v>
                </c:pt>
                <c:pt idx="90">
                  <c:v>34.310722100656456</c:v>
                </c:pt>
                <c:pt idx="91">
                  <c:v>44.636471990464841</c:v>
                </c:pt>
                <c:pt idx="92">
                  <c:v>34.172839506172842</c:v>
                </c:pt>
                <c:pt idx="93">
                  <c:v>0</c:v>
                </c:pt>
                <c:pt idx="94">
                  <c:v>38.10699588477366</c:v>
                </c:pt>
                <c:pt idx="95">
                  <c:v>30.737890448166592</c:v>
                </c:pt>
                <c:pt idx="96">
                  <c:v>52.017167381974247</c:v>
                </c:pt>
                <c:pt idx="97">
                  <c:v>34.624937903626432</c:v>
                </c:pt>
                <c:pt idx="98">
                  <c:v>35.096391497775578</c:v>
                </c:pt>
                <c:pt idx="99">
                  <c:v>42.716535433070867</c:v>
                </c:pt>
                <c:pt idx="100">
                  <c:v>39.681637293916999</c:v>
                </c:pt>
                <c:pt idx="101">
                  <c:v>35.935455734845178</c:v>
                </c:pt>
                <c:pt idx="102">
                  <c:v>33.088235294117645</c:v>
                </c:pt>
                <c:pt idx="103">
                  <c:v>35.335335335335337</c:v>
                </c:pt>
                <c:pt idx="104">
                  <c:v>41.009946442234124</c:v>
                </c:pt>
                <c:pt idx="105">
                  <c:v>70.199587061252586</c:v>
                </c:pt>
                <c:pt idx="106">
                  <c:v>31.322957198443579</c:v>
                </c:pt>
                <c:pt idx="107">
                  <c:v>33.652530779753761</c:v>
                </c:pt>
                <c:pt idx="108">
                  <c:v>33.426378227494766</c:v>
                </c:pt>
                <c:pt idx="109">
                  <c:v>28.27027027027027</c:v>
                </c:pt>
                <c:pt idx="110">
                  <c:v>41.449549976314543</c:v>
                </c:pt>
                <c:pt idx="111">
                  <c:v>54.589371980676326</c:v>
                </c:pt>
                <c:pt idx="112">
                  <c:v>50.391644908616186</c:v>
                </c:pt>
                <c:pt idx="113">
                  <c:v>34.235807860262007</c:v>
                </c:pt>
                <c:pt idx="114">
                  <c:v>32.918702798756108</c:v>
                </c:pt>
                <c:pt idx="115">
                  <c:v>69.944444444444443</c:v>
                </c:pt>
                <c:pt idx="116">
                  <c:v>31.498612395929694</c:v>
                </c:pt>
                <c:pt idx="117">
                  <c:v>39.067055393586003</c:v>
                </c:pt>
                <c:pt idx="118">
                  <c:v>35.846372688477949</c:v>
                </c:pt>
                <c:pt idx="119">
                  <c:v>29.496402877697843</c:v>
                </c:pt>
                <c:pt idx="120">
                  <c:v>36.15023474178404</c:v>
                </c:pt>
                <c:pt idx="121">
                  <c:v>32.619775739041792</c:v>
                </c:pt>
                <c:pt idx="122">
                  <c:v>32.914704343275773</c:v>
                </c:pt>
                <c:pt idx="123">
                  <c:v>36.454703832752614</c:v>
                </c:pt>
                <c:pt idx="124">
                  <c:v>38.655077767612077</c:v>
                </c:pt>
                <c:pt idx="125">
                  <c:v>26.343679031037095</c:v>
                </c:pt>
                <c:pt idx="126">
                  <c:v>27.943661971830984</c:v>
                </c:pt>
                <c:pt idx="127">
                  <c:v>30.517423442449843</c:v>
                </c:pt>
                <c:pt idx="128">
                  <c:v>24.2512077294686</c:v>
                </c:pt>
                <c:pt idx="129">
                  <c:v>25.774134790528233</c:v>
                </c:pt>
                <c:pt idx="130">
                  <c:v>21.677773422187379</c:v>
                </c:pt>
                <c:pt idx="131">
                  <c:v>30.321697467488022</c:v>
                </c:pt>
                <c:pt idx="132">
                  <c:v>53.324468085106382</c:v>
                </c:pt>
                <c:pt idx="133">
                  <c:v>50.189155107187894</c:v>
                </c:pt>
                <c:pt idx="134">
                  <c:v>31.195840554592721</c:v>
                </c:pt>
                <c:pt idx="135">
                  <c:v>44.290976058931861</c:v>
                </c:pt>
                <c:pt idx="136">
                  <c:v>25.843812045003308</c:v>
                </c:pt>
                <c:pt idx="137">
                  <c:v>21.28082736674622</c:v>
                </c:pt>
                <c:pt idx="138">
                  <c:v>25.108412836079793</c:v>
                </c:pt>
                <c:pt idx="139">
                  <c:v>25.090415913200722</c:v>
                </c:pt>
                <c:pt idx="140">
                  <c:v>25.754443985117817</c:v>
                </c:pt>
                <c:pt idx="141">
                  <c:v>23.076923076923077</c:v>
                </c:pt>
                <c:pt idx="142">
                  <c:v>21.449766850360323</c:v>
                </c:pt>
                <c:pt idx="143">
                  <c:v>24.273157538877619</c:v>
                </c:pt>
                <c:pt idx="144">
                  <c:v>16.688918558077436</c:v>
                </c:pt>
                <c:pt idx="145">
                  <c:v>20.277882087870822</c:v>
                </c:pt>
                <c:pt idx="146">
                  <c:v>40.563821456538761</c:v>
                </c:pt>
                <c:pt idx="147">
                  <c:v>33.180987202925046</c:v>
                </c:pt>
                <c:pt idx="148">
                  <c:v>30.681818181818183</c:v>
                </c:pt>
                <c:pt idx="149">
                  <c:v>35.09286412512219</c:v>
                </c:pt>
                <c:pt idx="150">
                  <c:v>36.991150442477874</c:v>
                </c:pt>
                <c:pt idx="151">
                  <c:v>47.942754919499109</c:v>
                </c:pt>
                <c:pt idx="152">
                  <c:v>62.192013593882756</c:v>
                </c:pt>
                <c:pt idx="153">
                  <c:v>31.339977851605759</c:v>
                </c:pt>
                <c:pt idx="154">
                  <c:v>40.958268933539415</c:v>
                </c:pt>
                <c:pt idx="155">
                  <c:v>41.6767189384801</c:v>
                </c:pt>
                <c:pt idx="156">
                  <c:v>23.50187265917603</c:v>
                </c:pt>
              </c:numCache>
            </c:numRef>
          </c:xVal>
          <c:yVal>
            <c:numRef>
              <c:f>'Мособлдума одномандатный №6'!$AJ$2:$AJ$183</c:f>
              <c:numCache>
                <c:formatCode>0.0</c:formatCode>
                <c:ptCount val="157"/>
                <c:pt idx="0">
                  <c:v>52.944862155388471</c:v>
                </c:pt>
                <c:pt idx="1">
                  <c:v>53.291536050156736</c:v>
                </c:pt>
                <c:pt idx="2">
                  <c:v>76.546629732225298</c:v>
                </c:pt>
                <c:pt idx="3">
                  <c:v>49.48096885813149</c:v>
                </c:pt>
                <c:pt idx="4">
                  <c:v>42.497261774370209</c:v>
                </c:pt>
                <c:pt idx="5">
                  <c:v>52.400408580183864</c:v>
                </c:pt>
                <c:pt idx="6">
                  <c:v>45.982905982905983</c:v>
                </c:pt>
                <c:pt idx="7">
                  <c:v>62.597809076682317</c:v>
                </c:pt>
                <c:pt idx="8">
                  <c:v>63.673469387755105</c:v>
                </c:pt>
                <c:pt idx="9">
                  <c:v>34.642857142857146</c:v>
                </c:pt>
                <c:pt idx="10">
                  <c:v>23.508771929824562</c:v>
                </c:pt>
                <c:pt idx="11">
                  <c:v>68.445839874411305</c:v>
                </c:pt>
                <c:pt idx="12">
                  <c:v>37.234042553191486</c:v>
                </c:pt>
                <c:pt idx="13">
                  <c:v>40.88669950738916</c:v>
                </c:pt>
                <c:pt idx="14">
                  <c:v>50.530035335689043</c:v>
                </c:pt>
                <c:pt idx="15">
                  <c:v>30.981067125645438</c:v>
                </c:pt>
                <c:pt idx="16">
                  <c:v>30.625</c:v>
                </c:pt>
                <c:pt idx="17">
                  <c:v>26.315789473684209</c:v>
                </c:pt>
                <c:pt idx="18">
                  <c:v>47.115384615384613</c:v>
                </c:pt>
                <c:pt idx="19">
                  <c:v>40.560165975103736</c:v>
                </c:pt>
                <c:pt idx="20">
                  <c:v>32.027649769585253</c:v>
                </c:pt>
                <c:pt idx="21">
                  <c:v>57.613168724279838</c:v>
                </c:pt>
                <c:pt idx="22">
                  <c:v>30.563798219584569</c:v>
                </c:pt>
                <c:pt idx="23">
                  <c:v>32.114882506527415</c:v>
                </c:pt>
                <c:pt idx="24">
                  <c:v>36.96275071633238</c:v>
                </c:pt>
                <c:pt idx="25">
                  <c:v>36.226415094339622</c:v>
                </c:pt>
                <c:pt idx="26">
                  <c:v>62.860808210391276</c:v>
                </c:pt>
                <c:pt idx="27">
                  <c:v>71.449925261584454</c:v>
                </c:pt>
                <c:pt idx="28">
                  <c:v>55.263157894736842</c:v>
                </c:pt>
                <c:pt idx="29">
                  <c:v>38.855421686746986</c:v>
                </c:pt>
                <c:pt idx="30">
                  <c:v>46.415770609318997</c:v>
                </c:pt>
                <c:pt idx="31">
                  <c:v>35.077793493635077</c:v>
                </c:pt>
                <c:pt idx="32">
                  <c:v>25.925925925925927</c:v>
                </c:pt>
                <c:pt idx="33">
                  <c:v>36.177474402730375</c:v>
                </c:pt>
                <c:pt idx="34">
                  <c:v>31.967213114754099</c:v>
                </c:pt>
                <c:pt idx="35">
                  <c:v>44.094488188976378</c:v>
                </c:pt>
                <c:pt idx="36">
                  <c:v>33.117583603020499</c:v>
                </c:pt>
                <c:pt idx="37">
                  <c:v>40.968586387434556</c:v>
                </c:pt>
                <c:pt idx="38">
                  <c:v>37.871033776867961</c:v>
                </c:pt>
                <c:pt idx="39">
                  <c:v>32.94701986754967</c:v>
                </c:pt>
                <c:pt idx="40">
                  <c:v>58.574879227053138</c:v>
                </c:pt>
                <c:pt idx="41">
                  <c:v>24.184261036468332</c:v>
                </c:pt>
                <c:pt idx="42">
                  <c:v>37.575757575757578</c:v>
                </c:pt>
                <c:pt idx="43">
                  <c:v>29.603729603729604</c:v>
                </c:pt>
                <c:pt idx="44">
                  <c:v>49.340735600277583</c:v>
                </c:pt>
                <c:pt idx="45">
                  <c:v>43.859649122807021</c:v>
                </c:pt>
                <c:pt idx="46">
                  <c:v>47.953216374269005</c:v>
                </c:pt>
                <c:pt idx="47">
                  <c:v>33.85826771653543</c:v>
                </c:pt>
                <c:pt idx="48">
                  <c:v>34.104627766599599</c:v>
                </c:pt>
                <c:pt idx="49">
                  <c:v>37.470167064439138</c:v>
                </c:pt>
                <c:pt idx="50">
                  <c:v>35.448577680525162</c:v>
                </c:pt>
                <c:pt idx="51">
                  <c:v>33.975481611208409</c:v>
                </c:pt>
                <c:pt idx="52">
                  <c:v>28.198433420365536</c:v>
                </c:pt>
                <c:pt idx="53">
                  <c:v>25.688073394495412</c:v>
                </c:pt>
                <c:pt idx="54">
                  <c:v>54.746835443037973</c:v>
                </c:pt>
                <c:pt idx="55">
                  <c:v>51.383763837638377</c:v>
                </c:pt>
                <c:pt idx="56">
                  <c:v>53.094462540716613</c:v>
                </c:pt>
                <c:pt idx="57">
                  <c:v>48.993288590604024</c:v>
                </c:pt>
                <c:pt idx="58">
                  <c:v>40.55944055944056</c:v>
                </c:pt>
                <c:pt idx="59">
                  <c:v>37.935483870967744</c:v>
                </c:pt>
                <c:pt idx="60">
                  <c:v>29.560810810810811</c:v>
                </c:pt>
                <c:pt idx="61">
                  <c:v>29.714912280701753</c:v>
                </c:pt>
                <c:pt idx="62">
                  <c:v>26.321839080459771</c:v>
                </c:pt>
                <c:pt idx="63">
                  <c:v>35.276532137518686</c:v>
                </c:pt>
                <c:pt idx="64">
                  <c:v>30.387596899224807</c:v>
                </c:pt>
                <c:pt idx="65">
                  <c:v>37.19879518072289</c:v>
                </c:pt>
                <c:pt idx="66">
                  <c:v>38.704581358609794</c:v>
                </c:pt>
                <c:pt idx="67">
                  <c:v>34.741784037558688</c:v>
                </c:pt>
                <c:pt idx="68">
                  <c:v>51.465416178194609</c:v>
                </c:pt>
                <c:pt idx="69">
                  <c:v>54.456521739130437</c:v>
                </c:pt>
                <c:pt idx="70">
                  <c:v>48.387096774193552</c:v>
                </c:pt>
                <c:pt idx="71">
                  <c:v>58.557284299858559</c:v>
                </c:pt>
                <c:pt idx="72">
                  <c:v>41.85022026431718</c:v>
                </c:pt>
                <c:pt idx="73">
                  <c:v>59.975062344139651</c:v>
                </c:pt>
                <c:pt idx="74">
                  <c:v>32.116788321167881</c:v>
                </c:pt>
                <c:pt idx="75">
                  <c:v>35.158501440922187</c:v>
                </c:pt>
                <c:pt idx="76">
                  <c:v>40.869565217391305</c:v>
                </c:pt>
                <c:pt idx="77">
                  <c:v>51.893939393939391</c:v>
                </c:pt>
                <c:pt idx="78">
                  <c:v>89.887640449438209</c:v>
                </c:pt>
                <c:pt idx="79">
                  <c:v>44.642857142857146</c:v>
                </c:pt>
                <c:pt idx="80">
                  <c:v>42.312579415501908</c:v>
                </c:pt>
                <c:pt idx="81">
                  <c:v>34.510869565217391</c:v>
                </c:pt>
                <c:pt idx="82">
                  <c:v>36.385836385836384</c:v>
                </c:pt>
                <c:pt idx="83">
                  <c:v>44.032921810699591</c:v>
                </c:pt>
                <c:pt idx="84">
                  <c:v>34.444444444444443</c:v>
                </c:pt>
                <c:pt idx="85">
                  <c:v>39.207650273224047</c:v>
                </c:pt>
                <c:pt idx="86">
                  <c:v>37.473903966597078</c:v>
                </c:pt>
                <c:pt idx="87">
                  <c:v>30.462184873949578</c:v>
                </c:pt>
                <c:pt idx="88">
                  <c:v>54.03087478559177</c:v>
                </c:pt>
                <c:pt idx="89">
                  <c:v>43.548387096774192</c:v>
                </c:pt>
                <c:pt idx="90">
                  <c:v>34.821428571428569</c:v>
                </c:pt>
                <c:pt idx="91">
                  <c:v>46.185852981969489</c:v>
                </c:pt>
                <c:pt idx="92">
                  <c:v>31.502890173410403</c:v>
                </c:pt>
                <c:pt idx="93">
                  <c:v>0</c:v>
                </c:pt>
                <c:pt idx="94">
                  <c:v>39.45945945945946</c:v>
                </c:pt>
                <c:pt idx="95">
                  <c:v>33.726067746686304</c:v>
                </c:pt>
                <c:pt idx="96">
                  <c:v>53.382838283828384</c:v>
                </c:pt>
                <c:pt idx="97">
                  <c:v>40.54054054054054</c:v>
                </c:pt>
                <c:pt idx="98">
                  <c:v>37.357954545454547</c:v>
                </c:pt>
                <c:pt idx="99">
                  <c:v>38.305941845764856</c:v>
                </c:pt>
                <c:pt idx="100">
                  <c:v>41.091954022988503</c:v>
                </c:pt>
                <c:pt idx="101">
                  <c:v>34.101941747572816</c:v>
                </c:pt>
                <c:pt idx="102">
                  <c:v>31.666666666666668</c:v>
                </c:pt>
                <c:pt idx="103">
                  <c:v>31.728045325779036</c:v>
                </c:pt>
                <c:pt idx="104">
                  <c:v>35.447761194029852</c:v>
                </c:pt>
                <c:pt idx="105">
                  <c:v>29.756097560975611</c:v>
                </c:pt>
                <c:pt idx="106">
                  <c:v>27.74327122153209</c:v>
                </c:pt>
                <c:pt idx="107">
                  <c:v>27.642276422764226</c:v>
                </c:pt>
                <c:pt idx="108">
                  <c:v>38.204592901878911</c:v>
                </c:pt>
                <c:pt idx="109">
                  <c:v>26.38623326959847</c:v>
                </c:pt>
                <c:pt idx="110">
                  <c:v>38.4</c:v>
                </c:pt>
                <c:pt idx="111">
                  <c:v>49.911504424778762</c:v>
                </c:pt>
                <c:pt idx="112">
                  <c:v>59.397715472481828</c:v>
                </c:pt>
                <c:pt idx="113">
                  <c:v>32.166018158236056</c:v>
                </c:pt>
                <c:pt idx="114">
                  <c:v>33.603238866396758</c:v>
                </c:pt>
                <c:pt idx="115">
                  <c:v>56.552819698173153</c:v>
                </c:pt>
                <c:pt idx="116">
                  <c:v>31.424375917767989</c:v>
                </c:pt>
                <c:pt idx="117">
                  <c:v>36.282051282051285</c:v>
                </c:pt>
                <c:pt idx="118">
                  <c:v>36.74614305750351</c:v>
                </c:pt>
                <c:pt idx="119">
                  <c:v>28.804347826086957</c:v>
                </c:pt>
                <c:pt idx="120">
                  <c:v>32.251082251082252</c:v>
                </c:pt>
                <c:pt idx="121">
                  <c:v>23.75</c:v>
                </c:pt>
                <c:pt idx="122">
                  <c:v>33.068362480127185</c:v>
                </c:pt>
                <c:pt idx="123">
                  <c:v>35.216346153846153</c:v>
                </c:pt>
                <c:pt idx="124">
                  <c:v>37.275985663082437</c:v>
                </c:pt>
                <c:pt idx="125">
                  <c:v>35.775862068965516</c:v>
                </c:pt>
                <c:pt idx="126">
                  <c:v>26.20967741935484</c:v>
                </c:pt>
                <c:pt idx="127">
                  <c:v>27.681660899653981</c:v>
                </c:pt>
                <c:pt idx="128">
                  <c:v>29.233870967741936</c:v>
                </c:pt>
                <c:pt idx="129">
                  <c:v>25.265017667844521</c:v>
                </c:pt>
                <c:pt idx="130">
                  <c:v>28.028933092224232</c:v>
                </c:pt>
                <c:pt idx="131">
                  <c:v>17.945823927765236</c:v>
                </c:pt>
                <c:pt idx="132">
                  <c:v>57.575757575757578</c:v>
                </c:pt>
                <c:pt idx="133">
                  <c:v>38.419618528610357</c:v>
                </c:pt>
                <c:pt idx="134">
                  <c:v>35.647279549718576</c:v>
                </c:pt>
                <c:pt idx="135">
                  <c:v>64.791666666666671</c:v>
                </c:pt>
                <c:pt idx="136">
                  <c:v>27.435897435897434</c:v>
                </c:pt>
                <c:pt idx="137">
                  <c:v>30.093457943925234</c:v>
                </c:pt>
                <c:pt idx="138">
                  <c:v>27.288428324697755</c:v>
                </c:pt>
                <c:pt idx="139">
                  <c:v>26.678765880217785</c:v>
                </c:pt>
                <c:pt idx="140">
                  <c:v>27.608346709470304</c:v>
                </c:pt>
                <c:pt idx="141">
                  <c:v>31.364562118126273</c:v>
                </c:pt>
                <c:pt idx="142">
                  <c:v>28.628230616302186</c:v>
                </c:pt>
                <c:pt idx="143">
                  <c:v>27.01949860724234</c:v>
                </c:pt>
                <c:pt idx="144">
                  <c:v>26.050420168067227</c:v>
                </c:pt>
                <c:pt idx="145">
                  <c:v>23.703703703703702</c:v>
                </c:pt>
                <c:pt idx="146">
                  <c:v>47.876447876447877</c:v>
                </c:pt>
                <c:pt idx="147">
                  <c:v>49.311294765840223</c:v>
                </c:pt>
                <c:pt idx="148">
                  <c:v>32.804232804232804</c:v>
                </c:pt>
                <c:pt idx="149">
                  <c:v>35.654596100278553</c:v>
                </c:pt>
                <c:pt idx="150">
                  <c:v>49.464285714285715</c:v>
                </c:pt>
                <c:pt idx="151">
                  <c:v>41.843088418430881</c:v>
                </c:pt>
                <c:pt idx="152">
                  <c:v>74.112021857923494</c:v>
                </c:pt>
                <c:pt idx="153">
                  <c:v>54.240282685512369</c:v>
                </c:pt>
                <c:pt idx="154">
                  <c:v>22.264150943396228</c:v>
                </c:pt>
                <c:pt idx="155">
                  <c:v>22.865412445730826</c:v>
                </c:pt>
                <c:pt idx="156">
                  <c:v>33.466135458167329</c:v>
                </c:pt>
              </c:numCache>
            </c:numRef>
          </c:yVal>
          <c:bubbleSize>
            <c:numRef>
              <c:f>'Мособлдума одномандатный №6'!$J$2:$J$183</c:f>
              <c:numCache>
                <c:formatCode>General</c:formatCode>
                <c:ptCount val="157"/>
                <c:pt idx="0">
                  <c:v>2451</c:v>
                </c:pt>
                <c:pt idx="1">
                  <c:v>1792</c:v>
                </c:pt>
                <c:pt idx="2">
                  <c:v>1987</c:v>
                </c:pt>
                <c:pt idx="3">
                  <c:v>2122</c:v>
                </c:pt>
                <c:pt idx="4">
                  <c:v>1909</c:v>
                </c:pt>
                <c:pt idx="5">
                  <c:v>1948</c:v>
                </c:pt>
                <c:pt idx="6">
                  <c:v>1966</c:v>
                </c:pt>
                <c:pt idx="7">
                  <c:v>1755</c:v>
                </c:pt>
                <c:pt idx="8">
                  <c:v>2053</c:v>
                </c:pt>
                <c:pt idx="9">
                  <c:v>2353</c:v>
                </c:pt>
                <c:pt idx="10">
                  <c:v>2236</c:v>
                </c:pt>
                <c:pt idx="11">
                  <c:v>878</c:v>
                </c:pt>
                <c:pt idx="12">
                  <c:v>1109</c:v>
                </c:pt>
                <c:pt idx="13">
                  <c:v>2346</c:v>
                </c:pt>
                <c:pt idx="14">
                  <c:v>1222</c:v>
                </c:pt>
                <c:pt idx="15">
                  <c:v>1986</c:v>
                </c:pt>
                <c:pt idx="16">
                  <c:v>377</c:v>
                </c:pt>
                <c:pt idx="17">
                  <c:v>1248</c:v>
                </c:pt>
                <c:pt idx="18">
                  <c:v>1716</c:v>
                </c:pt>
                <c:pt idx="19">
                  <c:v>2695</c:v>
                </c:pt>
                <c:pt idx="20">
                  <c:v>1800</c:v>
                </c:pt>
                <c:pt idx="21">
                  <c:v>2108</c:v>
                </c:pt>
                <c:pt idx="22">
                  <c:v>2215</c:v>
                </c:pt>
                <c:pt idx="23">
                  <c:v>2112</c:v>
                </c:pt>
                <c:pt idx="24">
                  <c:v>2268</c:v>
                </c:pt>
                <c:pt idx="25">
                  <c:v>2112</c:v>
                </c:pt>
                <c:pt idx="26">
                  <c:v>2579</c:v>
                </c:pt>
                <c:pt idx="27">
                  <c:v>1659</c:v>
                </c:pt>
                <c:pt idx="28">
                  <c:v>1947</c:v>
                </c:pt>
                <c:pt idx="29">
                  <c:v>857</c:v>
                </c:pt>
                <c:pt idx="30">
                  <c:v>1412</c:v>
                </c:pt>
                <c:pt idx="31">
                  <c:v>2047</c:v>
                </c:pt>
                <c:pt idx="32">
                  <c:v>536</c:v>
                </c:pt>
                <c:pt idx="33">
                  <c:v>1745</c:v>
                </c:pt>
                <c:pt idx="34">
                  <c:v>1453</c:v>
                </c:pt>
                <c:pt idx="35">
                  <c:v>1496</c:v>
                </c:pt>
                <c:pt idx="36">
                  <c:v>2669</c:v>
                </c:pt>
                <c:pt idx="37">
                  <c:v>2799</c:v>
                </c:pt>
                <c:pt idx="38">
                  <c:v>2544</c:v>
                </c:pt>
                <c:pt idx="39">
                  <c:v>1670</c:v>
                </c:pt>
                <c:pt idx="40">
                  <c:v>1891</c:v>
                </c:pt>
                <c:pt idx="41">
                  <c:v>1984</c:v>
                </c:pt>
                <c:pt idx="42">
                  <c:v>628</c:v>
                </c:pt>
                <c:pt idx="43">
                  <c:v>1469</c:v>
                </c:pt>
                <c:pt idx="44">
                  <c:v>2564</c:v>
                </c:pt>
                <c:pt idx="45">
                  <c:v>711</c:v>
                </c:pt>
                <c:pt idx="46">
                  <c:v>676</c:v>
                </c:pt>
                <c:pt idx="47">
                  <c:v>1747</c:v>
                </c:pt>
                <c:pt idx="48">
                  <c:v>1907</c:v>
                </c:pt>
                <c:pt idx="49">
                  <c:v>1194</c:v>
                </c:pt>
                <c:pt idx="50">
                  <c:v>1129</c:v>
                </c:pt>
                <c:pt idx="51">
                  <c:v>1498</c:v>
                </c:pt>
                <c:pt idx="52">
                  <c:v>1859</c:v>
                </c:pt>
                <c:pt idx="53">
                  <c:v>1315</c:v>
                </c:pt>
                <c:pt idx="54">
                  <c:v>1300</c:v>
                </c:pt>
                <c:pt idx="55">
                  <c:v>2038</c:v>
                </c:pt>
                <c:pt idx="56">
                  <c:v>1190</c:v>
                </c:pt>
                <c:pt idx="57">
                  <c:v>1521</c:v>
                </c:pt>
                <c:pt idx="58">
                  <c:v>710</c:v>
                </c:pt>
                <c:pt idx="59">
                  <c:v>1525</c:v>
                </c:pt>
                <c:pt idx="60">
                  <c:v>1495</c:v>
                </c:pt>
                <c:pt idx="61">
                  <c:v>1808</c:v>
                </c:pt>
                <c:pt idx="62">
                  <c:v>2012</c:v>
                </c:pt>
                <c:pt idx="63">
                  <c:v>1681</c:v>
                </c:pt>
                <c:pt idx="64">
                  <c:v>1685</c:v>
                </c:pt>
                <c:pt idx="65">
                  <c:v>1529</c:v>
                </c:pt>
                <c:pt idx="66">
                  <c:v>1800</c:v>
                </c:pt>
                <c:pt idx="67">
                  <c:v>1896</c:v>
                </c:pt>
                <c:pt idx="68">
                  <c:v>1963</c:v>
                </c:pt>
                <c:pt idx="69">
                  <c:v>1902</c:v>
                </c:pt>
                <c:pt idx="70">
                  <c:v>1647</c:v>
                </c:pt>
                <c:pt idx="71">
                  <c:v>1316</c:v>
                </c:pt>
                <c:pt idx="72">
                  <c:v>2387</c:v>
                </c:pt>
                <c:pt idx="73">
                  <c:v>1535</c:v>
                </c:pt>
                <c:pt idx="74">
                  <c:v>2645</c:v>
                </c:pt>
                <c:pt idx="75">
                  <c:v>2043</c:v>
                </c:pt>
                <c:pt idx="76">
                  <c:v>1990</c:v>
                </c:pt>
                <c:pt idx="77">
                  <c:v>988</c:v>
                </c:pt>
                <c:pt idx="78">
                  <c:v>89</c:v>
                </c:pt>
                <c:pt idx="79">
                  <c:v>83</c:v>
                </c:pt>
                <c:pt idx="80">
                  <c:v>1762</c:v>
                </c:pt>
                <c:pt idx="81">
                  <c:v>1063</c:v>
                </c:pt>
                <c:pt idx="82">
                  <c:v>2316</c:v>
                </c:pt>
                <c:pt idx="83">
                  <c:v>1250</c:v>
                </c:pt>
                <c:pt idx="84">
                  <c:v>1265</c:v>
                </c:pt>
                <c:pt idx="85">
                  <c:v>1736</c:v>
                </c:pt>
                <c:pt idx="86">
                  <c:v>2586</c:v>
                </c:pt>
                <c:pt idx="87">
                  <c:v>1243</c:v>
                </c:pt>
                <c:pt idx="88">
                  <c:v>1451</c:v>
                </c:pt>
                <c:pt idx="89">
                  <c:v>1179</c:v>
                </c:pt>
                <c:pt idx="90">
                  <c:v>2285</c:v>
                </c:pt>
                <c:pt idx="91">
                  <c:v>1678</c:v>
                </c:pt>
                <c:pt idx="92">
                  <c:v>2025</c:v>
                </c:pt>
                <c:pt idx="93">
                  <c:v>0</c:v>
                </c:pt>
                <c:pt idx="94">
                  <c:v>2430</c:v>
                </c:pt>
                <c:pt idx="95">
                  <c:v>2209</c:v>
                </c:pt>
                <c:pt idx="96">
                  <c:v>2330</c:v>
                </c:pt>
                <c:pt idx="97">
                  <c:v>2013</c:v>
                </c:pt>
                <c:pt idx="98">
                  <c:v>2023</c:v>
                </c:pt>
                <c:pt idx="99">
                  <c:v>2032</c:v>
                </c:pt>
                <c:pt idx="100">
                  <c:v>1759</c:v>
                </c:pt>
                <c:pt idx="101">
                  <c:v>2293</c:v>
                </c:pt>
                <c:pt idx="102">
                  <c:v>2176</c:v>
                </c:pt>
                <c:pt idx="103">
                  <c:v>1998</c:v>
                </c:pt>
                <c:pt idx="104">
                  <c:v>1307</c:v>
                </c:pt>
                <c:pt idx="105">
                  <c:v>1453</c:v>
                </c:pt>
                <c:pt idx="106">
                  <c:v>1542</c:v>
                </c:pt>
                <c:pt idx="107">
                  <c:v>1462</c:v>
                </c:pt>
                <c:pt idx="108">
                  <c:v>1433</c:v>
                </c:pt>
                <c:pt idx="109">
                  <c:v>1850</c:v>
                </c:pt>
                <c:pt idx="110">
                  <c:v>2111</c:v>
                </c:pt>
                <c:pt idx="111">
                  <c:v>1035</c:v>
                </c:pt>
                <c:pt idx="112">
                  <c:v>1915</c:v>
                </c:pt>
                <c:pt idx="113">
                  <c:v>2290</c:v>
                </c:pt>
                <c:pt idx="114">
                  <c:v>2251</c:v>
                </c:pt>
                <c:pt idx="115">
                  <c:v>1800</c:v>
                </c:pt>
                <c:pt idx="116">
                  <c:v>2162</c:v>
                </c:pt>
                <c:pt idx="117">
                  <c:v>2058</c:v>
                </c:pt>
                <c:pt idx="118">
                  <c:v>2109</c:v>
                </c:pt>
                <c:pt idx="119">
                  <c:v>1251</c:v>
                </c:pt>
                <c:pt idx="120">
                  <c:v>1278</c:v>
                </c:pt>
                <c:pt idx="121">
                  <c:v>981</c:v>
                </c:pt>
                <c:pt idx="122">
                  <c:v>1911</c:v>
                </c:pt>
                <c:pt idx="123">
                  <c:v>2296</c:v>
                </c:pt>
                <c:pt idx="124">
                  <c:v>2186</c:v>
                </c:pt>
                <c:pt idx="125">
                  <c:v>2642</c:v>
                </c:pt>
                <c:pt idx="126">
                  <c:v>1775</c:v>
                </c:pt>
                <c:pt idx="127">
                  <c:v>1894</c:v>
                </c:pt>
                <c:pt idx="128">
                  <c:v>2070</c:v>
                </c:pt>
                <c:pt idx="129">
                  <c:v>2196</c:v>
                </c:pt>
                <c:pt idx="130">
                  <c:v>2551</c:v>
                </c:pt>
                <c:pt idx="131">
                  <c:v>2922</c:v>
                </c:pt>
                <c:pt idx="132">
                  <c:v>752</c:v>
                </c:pt>
                <c:pt idx="133">
                  <c:v>793</c:v>
                </c:pt>
                <c:pt idx="134">
                  <c:v>1731</c:v>
                </c:pt>
                <c:pt idx="135">
                  <c:v>1086</c:v>
                </c:pt>
                <c:pt idx="136">
                  <c:v>3022</c:v>
                </c:pt>
                <c:pt idx="137">
                  <c:v>2514</c:v>
                </c:pt>
                <c:pt idx="138">
                  <c:v>2306</c:v>
                </c:pt>
                <c:pt idx="139">
                  <c:v>2212</c:v>
                </c:pt>
                <c:pt idx="140">
                  <c:v>2419</c:v>
                </c:pt>
                <c:pt idx="141">
                  <c:v>2132</c:v>
                </c:pt>
                <c:pt idx="142">
                  <c:v>2359</c:v>
                </c:pt>
                <c:pt idx="143">
                  <c:v>2958</c:v>
                </c:pt>
                <c:pt idx="144">
                  <c:v>749</c:v>
                </c:pt>
                <c:pt idx="145">
                  <c:v>2663</c:v>
                </c:pt>
                <c:pt idx="146">
                  <c:v>1277</c:v>
                </c:pt>
                <c:pt idx="147">
                  <c:v>1094</c:v>
                </c:pt>
                <c:pt idx="148">
                  <c:v>1232</c:v>
                </c:pt>
                <c:pt idx="149">
                  <c:v>1023</c:v>
                </c:pt>
                <c:pt idx="150">
                  <c:v>1695</c:v>
                </c:pt>
                <c:pt idx="151">
                  <c:v>1677</c:v>
                </c:pt>
                <c:pt idx="152">
                  <c:v>2354</c:v>
                </c:pt>
                <c:pt idx="153">
                  <c:v>1806</c:v>
                </c:pt>
                <c:pt idx="154">
                  <c:v>1294</c:v>
                </c:pt>
                <c:pt idx="155">
                  <c:v>1658</c:v>
                </c:pt>
                <c:pt idx="156">
                  <c:v>1068</c:v>
                </c:pt>
              </c:numCache>
            </c:numRef>
          </c:bubbleSize>
          <c:bubble3D val="0"/>
          <c:extLst>
            <c:ext xmlns:c16="http://schemas.microsoft.com/office/drawing/2014/chart" uri="{C3380CC4-5D6E-409C-BE32-E72D297353CC}">
              <c16:uniqueId val="{00000004-0635-4CC9-A990-39CC245ADBA1}"/>
            </c:ext>
          </c:extLst>
        </c:ser>
        <c:ser>
          <c:idx val="4"/>
          <c:order val="5"/>
          <c:tx>
            <c:strRef>
              <c:f>'Мособлдума одномандатный №6'!$AL$1</c:f>
              <c:strCache>
                <c:ptCount val="1"/>
                <c:pt idx="0">
                  <c:v>Сидоров (ЛДПР)</c:v>
                </c:pt>
              </c:strCache>
            </c:strRef>
          </c:tx>
          <c:spPr>
            <a:solidFill>
              <a:srgbClr val="FF9900">
                <a:alpha val="49804"/>
              </a:srgbClr>
            </a:solidFill>
            <a:ln w="25400">
              <a:noFill/>
            </a:ln>
          </c:spPr>
          <c:invertIfNegative val="0"/>
          <c:xVal>
            <c:numRef>
              <c:f>'Мособлдума одномандатный №6'!$O$2:$O$183</c:f>
              <c:numCache>
                <c:formatCode>0.0</c:formatCode>
                <c:ptCount val="157"/>
                <c:pt idx="0">
                  <c:v>65.116279069767444</c:v>
                </c:pt>
                <c:pt idx="1">
                  <c:v>53.515625</c:v>
                </c:pt>
                <c:pt idx="2">
                  <c:v>54.705586311021641</c:v>
                </c:pt>
                <c:pt idx="3">
                  <c:v>54.665409990574929</c:v>
                </c:pt>
                <c:pt idx="4">
                  <c:v>48.402304871660554</c:v>
                </c:pt>
                <c:pt idx="5">
                  <c:v>50.256673511293634</c:v>
                </c:pt>
                <c:pt idx="6">
                  <c:v>59.511698880976603</c:v>
                </c:pt>
                <c:pt idx="7">
                  <c:v>73.105413105413106</c:v>
                </c:pt>
                <c:pt idx="8">
                  <c:v>71.602532878714072</c:v>
                </c:pt>
                <c:pt idx="9">
                  <c:v>35.954101147471313</c:v>
                </c:pt>
                <c:pt idx="10">
                  <c:v>25.491949910554563</c:v>
                </c:pt>
                <c:pt idx="11">
                  <c:v>72.551252847380411</c:v>
                </c:pt>
                <c:pt idx="12">
                  <c:v>50.85662759242561</c:v>
                </c:pt>
                <c:pt idx="13">
                  <c:v>34.612105711849956</c:v>
                </c:pt>
                <c:pt idx="14">
                  <c:v>46.317512274959086</c:v>
                </c:pt>
                <c:pt idx="15">
                  <c:v>29.254783484390735</c:v>
                </c:pt>
                <c:pt idx="16">
                  <c:v>42.440318302387269</c:v>
                </c:pt>
                <c:pt idx="17">
                  <c:v>30.929487179487179</c:v>
                </c:pt>
                <c:pt idx="18">
                  <c:v>48.484848484848484</c:v>
                </c:pt>
                <c:pt idx="19">
                  <c:v>35.881261595547308</c:v>
                </c:pt>
                <c:pt idx="20">
                  <c:v>24.111111111111111</c:v>
                </c:pt>
                <c:pt idx="21">
                  <c:v>46.110056925996204</c:v>
                </c:pt>
                <c:pt idx="22">
                  <c:v>30.474040632054177</c:v>
                </c:pt>
                <c:pt idx="23">
                  <c:v>36.268939393939391</c:v>
                </c:pt>
                <c:pt idx="24">
                  <c:v>32.671957671957671</c:v>
                </c:pt>
                <c:pt idx="25">
                  <c:v>37.642045454545453</c:v>
                </c:pt>
                <c:pt idx="26">
                  <c:v>60.449786739046139</c:v>
                </c:pt>
                <c:pt idx="27">
                  <c:v>80.650994575045203</c:v>
                </c:pt>
                <c:pt idx="28">
                  <c:v>37.082691319979453</c:v>
                </c:pt>
                <c:pt idx="29">
                  <c:v>38.739789964994166</c:v>
                </c:pt>
                <c:pt idx="30">
                  <c:v>39.518413597733712</c:v>
                </c:pt>
                <c:pt idx="31">
                  <c:v>34.831460674157306</c:v>
                </c:pt>
                <c:pt idx="32">
                  <c:v>30.223880597014926</c:v>
                </c:pt>
                <c:pt idx="33">
                  <c:v>33.638968481375358</c:v>
                </c:pt>
                <c:pt idx="34">
                  <c:v>33.585684790089473</c:v>
                </c:pt>
                <c:pt idx="35">
                  <c:v>42.446524064171122</c:v>
                </c:pt>
                <c:pt idx="36">
                  <c:v>34.732109404271263</c:v>
                </c:pt>
                <c:pt idx="37">
                  <c:v>27.295462665237586</c:v>
                </c:pt>
                <c:pt idx="38">
                  <c:v>38.404088050314463</c:v>
                </c:pt>
                <c:pt idx="39">
                  <c:v>36.167664670658681</c:v>
                </c:pt>
                <c:pt idx="40">
                  <c:v>43.786356425171867</c:v>
                </c:pt>
                <c:pt idx="41">
                  <c:v>26.260080645161292</c:v>
                </c:pt>
                <c:pt idx="42">
                  <c:v>26.273885350318473</c:v>
                </c:pt>
                <c:pt idx="43">
                  <c:v>29.20353982300885</c:v>
                </c:pt>
                <c:pt idx="44">
                  <c:v>56.201248049922</c:v>
                </c:pt>
                <c:pt idx="45">
                  <c:v>64.135021097046419</c:v>
                </c:pt>
                <c:pt idx="46">
                  <c:v>50.591715976331358</c:v>
                </c:pt>
                <c:pt idx="47">
                  <c:v>43.617630223239843</c:v>
                </c:pt>
                <c:pt idx="48">
                  <c:v>52.123754588358679</c:v>
                </c:pt>
                <c:pt idx="49">
                  <c:v>37.353433835845898</c:v>
                </c:pt>
                <c:pt idx="50">
                  <c:v>40.566873339238263</c:v>
                </c:pt>
                <c:pt idx="51">
                  <c:v>39.118825100133513</c:v>
                </c:pt>
                <c:pt idx="52">
                  <c:v>20.602474448628296</c:v>
                </c:pt>
                <c:pt idx="53">
                  <c:v>33.231939163498097</c:v>
                </c:pt>
                <c:pt idx="54">
                  <c:v>48.615384615384613</c:v>
                </c:pt>
                <c:pt idx="55">
                  <c:v>53.189401373895976</c:v>
                </c:pt>
                <c:pt idx="56">
                  <c:v>58.823529411764703</c:v>
                </c:pt>
                <c:pt idx="57">
                  <c:v>48.980933596318209</c:v>
                </c:pt>
                <c:pt idx="58">
                  <c:v>40.422535211267608</c:v>
                </c:pt>
                <c:pt idx="59">
                  <c:v>50.819672131147541</c:v>
                </c:pt>
                <c:pt idx="60">
                  <c:v>39.598662207357862</c:v>
                </c:pt>
                <c:pt idx="61">
                  <c:v>50.497787610619469</c:v>
                </c:pt>
                <c:pt idx="62">
                  <c:v>44.234592445328033</c:v>
                </c:pt>
                <c:pt idx="63">
                  <c:v>40.035693039857229</c:v>
                </c:pt>
                <c:pt idx="64">
                  <c:v>38.27893175074184</c:v>
                </c:pt>
                <c:pt idx="65">
                  <c:v>43.427076520601702</c:v>
                </c:pt>
                <c:pt idx="66">
                  <c:v>35.166666666666664</c:v>
                </c:pt>
                <c:pt idx="67">
                  <c:v>36.234177215189874</c:v>
                </c:pt>
                <c:pt idx="68">
                  <c:v>43.453897096281203</c:v>
                </c:pt>
                <c:pt idx="69">
                  <c:v>48.370136698212406</c:v>
                </c:pt>
                <c:pt idx="70">
                  <c:v>50.819672131147541</c:v>
                </c:pt>
                <c:pt idx="71">
                  <c:v>53.723404255319146</c:v>
                </c:pt>
                <c:pt idx="72">
                  <c:v>47.549224968579807</c:v>
                </c:pt>
                <c:pt idx="73">
                  <c:v>52.247557003257327</c:v>
                </c:pt>
                <c:pt idx="74">
                  <c:v>31.077504725897921</c:v>
                </c:pt>
                <c:pt idx="75">
                  <c:v>33.969652471855113</c:v>
                </c:pt>
                <c:pt idx="76">
                  <c:v>52.412060301507537</c:v>
                </c:pt>
                <c:pt idx="77">
                  <c:v>54.251012145748987</c:v>
                </c:pt>
                <c:pt idx="78">
                  <c:v>100</c:v>
                </c:pt>
                <c:pt idx="79">
                  <c:v>67.46987951807229</c:v>
                </c:pt>
                <c:pt idx="80">
                  <c:v>44.665153234960272</c:v>
                </c:pt>
                <c:pt idx="81">
                  <c:v>34.619002822201317</c:v>
                </c:pt>
                <c:pt idx="82">
                  <c:v>35.362694300518136</c:v>
                </c:pt>
                <c:pt idx="83">
                  <c:v>39.04</c:v>
                </c:pt>
                <c:pt idx="84">
                  <c:v>35.573122529644266</c:v>
                </c:pt>
                <c:pt idx="85">
                  <c:v>43.721198156682028</c:v>
                </c:pt>
                <c:pt idx="86">
                  <c:v>38.940448569218873</c:v>
                </c:pt>
                <c:pt idx="87">
                  <c:v>38.696701528559935</c:v>
                </c:pt>
                <c:pt idx="88">
                  <c:v>40.17918676774638</c:v>
                </c:pt>
                <c:pt idx="89">
                  <c:v>36.810856658184903</c:v>
                </c:pt>
                <c:pt idx="90">
                  <c:v>34.310722100656456</c:v>
                </c:pt>
                <c:pt idx="91">
                  <c:v>44.636471990464841</c:v>
                </c:pt>
                <c:pt idx="92">
                  <c:v>34.172839506172842</c:v>
                </c:pt>
                <c:pt idx="93">
                  <c:v>0</c:v>
                </c:pt>
                <c:pt idx="94">
                  <c:v>38.10699588477366</c:v>
                </c:pt>
                <c:pt idx="95">
                  <c:v>30.737890448166592</c:v>
                </c:pt>
                <c:pt idx="96">
                  <c:v>52.017167381974247</c:v>
                </c:pt>
                <c:pt idx="97">
                  <c:v>34.624937903626432</c:v>
                </c:pt>
                <c:pt idx="98">
                  <c:v>35.096391497775578</c:v>
                </c:pt>
                <c:pt idx="99">
                  <c:v>42.716535433070867</c:v>
                </c:pt>
                <c:pt idx="100">
                  <c:v>39.681637293916999</c:v>
                </c:pt>
                <c:pt idx="101">
                  <c:v>35.935455734845178</c:v>
                </c:pt>
                <c:pt idx="102">
                  <c:v>33.088235294117645</c:v>
                </c:pt>
                <c:pt idx="103">
                  <c:v>35.335335335335337</c:v>
                </c:pt>
                <c:pt idx="104">
                  <c:v>41.009946442234124</c:v>
                </c:pt>
                <c:pt idx="105">
                  <c:v>70.199587061252586</c:v>
                </c:pt>
                <c:pt idx="106">
                  <c:v>31.322957198443579</c:v>
                </c:pt>
                <c:pt idx="107">
                  <c:v>33.652530779753761</c:v>
                </c:pt>
                <c:pt idx="108">
                  <c:v>33.426378227494766</c:v>
                </c:pt>
                <c:pt idx="109">
                  <c:v>28.27027027027027</c:v>
                </c:pt>
                <c:pt idx="110">
                  <c:v>41.449549976314543</c:v>
                </c:pt>
                <c:pt idx="111">
                  <c:v>54.589371980676326</c:v>
                </c:pt>
                <c:pt idx="112">
                  <c:v>50.391644908616186</c:v>
                </c:pt>
                <c:pt idx="113">
                  <c:v>34.235807860262007</c:v>
                </c:pt>
                <c:pt idx="114">
                  <c:v>32.918702798756108</c:v>
                </c:pt>
                <c:pt idx="115">
                  <c:v>69.944444444444443</c:v>
                </c:pt>
                <c:pt idx="116">
                  <c:v>31.498612395929694</c:v>
                </c:pt>
                <c:pt idx="117">
                  <c:v>39.067055393586003</c:v>
                </c:pt>
                <c:pt idx="118">
                  <c:v>35.846372688477949</c:v>
                </c:pt>
                <c:pt idx="119">
                  <c:v>29.496402877697843</c:v>
                </c:pt>
                <c:pt idx="120">
                  <c:v>36.15023474178404</c:v>
                </c:pt>
                <c:pt idx="121">
                  <c:v>32.619775739041792</c:v>
                </c:pt>
                <c:pt idx="122">
                  <c:v>32.914704343275773</c:v>
                </c:pt>
                <c:pt idx="123">
                  <c:v>36.454703832752614</c:v>
                </c:pt>
                <c:pt idx="124">
                  <c:v>38.655077767612077</c:v>
                </c:pt>
                <c:pt idx="125">
                  <c:v>26.343679031037095</c:v>
                </c:pt>
                <c:pt idx="126">
                  <c:v>27.943661971830984</c:v>
                </c:pt>
                <c:pt idx="127">
                  <c:v>30.517423442449843</c:v>
                </c:pt>
                <c:pt idx="128">
                  <c:v>24.2512077294686</c:v>
                </c:pt>
                <c:pt idx="129">
                  <c:v>25.774134790528233</c:v>
                </c:pt>
                <c:pt idx="130">
                  <c:v>21.677773422187379</c:v>
                </c:pt>
                <c:pt idx="131">
                  <c:v>30.321697467488022</c:v>
                </c:pt>
                <c:pt idx="132">
                  <c:v>53.324468085106382</c:v>
                </c:pt>
                <c:pt idx="133">
                  <c:v>50.189155107187894</c:v>
                </c:pt>
                <c:pt idx="134">
                  <c:v>31.195840554592721</c:v>
                </c:pt>
                <c:pt idx="135">
                  <c:v>44.290976058931861</c:v>
                </c:pt>
                <c:pt idx="136">
                  <c:v>25.843812045003308</c:v>
                </c:pt>
                <c:pt idx="137">
                  <c:v>21.28082736674622</c:v>
                </c:pt>
                <c:pt idx="138">
                  <c:v>25.108412836079793</c:v>
                </c:pt>
                <c:pt idx="139">
                  <c:v>25.090415913200722</c:v>
                </c:pt>
                <c:pt idx="140">
                  <c:v>25.754443985117817</c:v>
                </c:pt>
                <c:pt idx="141">
                  <c:v>23.076923076923077</c:v>
                </c:pt>
                <c:pt idx="142">
                  <c:v>21.449766850360323</c:v>
                </c:pt>
                <c:pt idx="143">
                  <c:v>24.273157538877619</c:v>
                </c:pt>
                <c:pt idx="144">
                  <c:v>16.688918558077436</c:v>
                </c:pt>
                <c:pt idx="145">
                  <c:v>20.277882087870822</c:v>
                </c:pt>
                <c:pt idx="146">
                  <c:v>40.563821456538761</c:v>
                </c:pt>
                <c:pt idx="147">
                  <c:v>33.180987202925046</c:v>
                </c:pt>
                <c:pt idx="148">
                  <c:v>30.681818181818183</c:v>
                </c:pt>
                <c:pt idx="149">
                  <c:v>35.09286412512219</c:v>
                </c:pt>
                <c:pt idx="150">
                  <c:v>36.991150442477874</c:v>
                </c:pt>
                <c:pt idx="151">
                  <c:v>47.942754919499109</c:v>
                </c:pt>
                <c:pt idx="152">
                  <c:v>62.192013593882756</c:v>
                </c:pt>
                <c:pt idx="153">
                  <c:v>31.339977851605759</c:v>
                </c:pt>
                <c:pt idx="154">
                  <c:v>40.958268933539415</c:v>
                </c:pt>
                <c:pt idx="155">
                  <c:v>41.6767189384801</c:v>
                </c:pt>
                <c:pt idx="156">
                  <c:v>23.50187265917603</c:v>
                </c:pt>
              </c:numCache>
            </c:numRef>
          </c:xVal>
          <c:yVal>
            <c:numRef>
              <c:f>'Мособлдума одномандатный №6'!$AL$2:$AL$183</c:f>
              <c:numCache>
                <c:formatCode>0.0</c:formatCode>
                <c:ptCount val="157"/>
                <c:pt idx="0">
                  <c:v>5.5764411027568919</c:v>
                </c:pt>
                <c:pt idx="1">
                  <c:v>3.9707419017763845</c:v>
                </c:pt>
                <c:pt idx="2">
                  <c:v>1.3850415512465375</c:v>
                </c:pt>
                <c:pt idx="3">
                  <c:v>6.0553633217993079</c:v>
                </c:pt>
                <c:pt idx="4">
                  <c:v>6.9003285870755748</c:v>
                </c:pt>
                <c:pt idx="5">
                  <c:v>6.1287027579162414</c:v>
                </c:pt>
                <c:pt idx="6">
                  <c:v>8.8888888888888893</c:v>
                </c:pt>
                <c:pt idx="7">
                  <c:v>4.225352112676056</c:v>
                </c:pt>
                <c:pt idx="8">
                  <c:v>4.3537414965986398</c:v>
                </c:pt>
                <c:pt idx="9">
                  <c:v>8.2142857142857135</c:v>
                </c:pt>
                <c:pt idx="10">
                  <c:v>7.0175438596491224</c:v>
                </c:pt>
                <c:pt idx="11">
                  <c:v>3.6106750392464679</c:v>
                </c:pt>
                <c:pt idx="12">
                  <c:v>7.4468085106382977</c:v>
                </c:pt>
                <c:pt idx="13">
                  <c:v>7.7586206896551726</c:v>
                </c:pt>
                <c:pt idx="14">
                  <c:v>5.4770318021201412</c:v>
                </c:pt>
                <c:pt idx="15">
                  <c:v>9.2943201376936315</c:v>
                </c:pt>
                <c:pt idx="16">
                  <c:v>16.875</c:v>
                </c:pt>
                <c:pt idx="17">
                  <c:v>8.9473684210526319</c:v>
                </c:pt>
                <c:pt idx="18">
                  <c:v>7.2115384615384617</c:v>
                </c:pt>
                <c:pt idx="19">
                  <c:v>7.7800829875518671</c:v>
                </c:pt>
                <c:pt idx="20">
                  <c:v>8.2949308755760374</c:v>
                </c:pt>
                <c:pt idx="21">
                  <c:v>6.7901234567901234</c:v>
                </c:pt>
                <c:pt idx="22">
                  <c:v>9.4955489614243316</c:v>
                </c:pt>
                <c:pt idx="23">
                  <c:v>6.7885117493472587</c:v>
                </c:pt>
                <c:pt idx="24">
                  <c:v>7.4498567335243555</c:v>
                </c:pt>
                <c:pt idx="25">
                  <c:v>6.9182389937106921</c:v>
                </c:pt>
                <c:pt idx="26">
                  <c:v>4.2334830019243102</c:v>
                </c:pt>
                <c:pt idx="27">
                  <c:v>4.9327354260089686</c:v>
                </c:pt>
                <c:pt idx="28">
                  <c:v>4.8476454293628812</c:v>
                </c:pt>
                <c:pt idx="29">
                  <c:v>7.5301204819277112</c:v>
                </c:pt>
                <c:pt idx="30">
                  <c:v>7.8853046594982077</c:v>
                </c:pt>
                <c:pt idx="31">
                  <c:v>8.0622347949080631</c:v>
                </c:pt>
                <c:pt idx="32">
                  <c:v>11.728395061728396</c:v>
                </c:pt>
                <c:pt idx="33">
                  <c:v>4.9488054607508536</c:v>
                </c:pt>
                <c:pt idx="34">
                  <c:v>5.7377049180327866</c:v>
                </c:pt>
                <c:pt idx="35">
                  <c:v>6.1417322834645667</c:v>
                </c:pt>
                <c:pt idx="36">
                  <c:v>5.0701186623516721</c:v>
                </c:pt>
                <c:pt idx="37">
                  <c:v>4.1884816753926701</c:v>
                </c:pt>
                <c:pt idx="38">
                  <c:v>6.4483111566018421</c:v>
                </c:pt>
                <c:pt idx="39">
                  <c:v>6.2913907284768209</c:v>
                </c:pt>
                <c:pt idx="40">
                  <c:v>4.5893719806763285</c:v>
                </c:pt>
                <c:pt idx="41">
                  <c:v>5.9500959692898272</c:v>
                </c:pt>
                <c:pt idx="42">
                  <c:v>6.666666666666667</c:v>
                </c:pt>
                <c:pt idx="43">
                  <c:v>5.5944055944055942</c:v>
                </c:pt>
                <c:pt idx="44">
                  <c:v>6.3150589868147122</c:v>
                </c:pt>
                <c:pt idx="45">
                  <c:v>7.0175438596491224</c:v>
                </c:pt>
                <c:pt idx="46">
                  <c:v>8.4795321637426895</c:v>
                </c:pt>
                <c:pt idx="47">
                  <c:v>7.349081364829396</c:v>
                </c:pt>
                <c:pt idx="48">
                  <c:v>9.9597585513078464</c:v>
                </c:pt>
                <c:pt idx="49">
                  <c:v>6.921241050119332</c:v>
                </c:pt>
                <c:pt idx="50">
                  <c:v>10.065645514223196</c:v>
                </c:pt>
                <c:pt idx="51">
                  <c:v>6.4798598949211907</c:v>
                </c:pt>
                <c:pt idx="52">
                  <c:v>6.2663185378590081</c:v>
                </c:pt>
                <c:pt idx="53">
                  <c:v>8.4862385321100913</c:v>
                </c:pt>
                <c:pt idx="54">
                  <c:v>3.9556962025316458</c:v>
                </c:pt>
                <c:pt idx="55">
                  <c:v>6.5498154981549819</c:v>
                </c:pt>
                <c:pt idx="56">
                  <c:v>6.5146579804560263</c:v>
                </c:pt>
                <c:pt idx="57">
                  <c:v>6.9798657718120802</c:v>
                </c:pt>
                <c:pt idx="58">
                  <c:v>9.44055944055944</c:v>
                </c:pt>
                <c:pt idx="59">
                  <c:v>8.129032258064516</c:v>
                </c:pt>
                <c:pt idx="60">
                  <c:v>8.9527027027027035</c:v>
                </c:pt>
                <c:pt idx="61">
                  <c:v>11.62280701754386</c:v>
                </c:pt>
                <c:pt idx="62">
                  <c:v>9.8850574712643677</c:v>
                </c:pt>
                <c:pt idx="63">
                  <c:v>8.071748878923767</c:v>
                </c:pt>
                <c:pt idx="64">
                  <c:v>8.3720930232558146</c:v>
                </c:pt>
                <c:pt idx="65">
                  <c:v>7.9819277108433733</c:v>
                </c:pt>
                <c:pt idx="66">
                  <c:v>6.3191153238546605</c:v>
                </c:pt>
                <c:pt idx="67">
                  <c:v>6.103286384976526</c:v>
                </c:pt>
                <c:pt idx="68">
                  <c:v>6.2133645955451344</c:v>
                </c:pt>
                <c:pt idx="69">
                  <c:v>4.8913043478260869</c:v>
                </c:pt>
                <c:pt idx="70">
                  <c:v>5.2568697729988054</c:v>
                </c:pt>
                <c:pt idx="71">
                  <c:v>4.6676096181046676</c:v>
                </c:pt>
                <c:pt idx="72">
                  <c:v>5.1101321585903081</c:v>
                </c:pt>
                <c:pt idx="73">
                  <c:v>5.2369077306733169</c:v>
                </c:pt>
                <c:pt idx="74">
                  <c:v>6.6909975669099753</c:v>
                </c:pt>
                <c:pt idx="75">
                  <c:v>6.4841498559077806</c:v>
                </c:pt>
                <c:pt idx="76">
                  <c:v>9.1304347826086953</c:v>
                </c:pt>
                <c:pt idx="77">
                  <c:v>7.5757575757575761</c:v>
                </c:pt>
                <c:pt idx="78">
                  <c:v>1.1235955056179776</c:v>
                </c:pt>
                <c:pt idx="79">
                  <c:v>7.1428571428571432</c:v>
                </c:pt>
                <c:pt idx="80">
                  <c:v>4.9555273189326554</c:v>
                </c:pt>
                <c:pt idx="81">
                  <c:v>7.3369565217391308</c:v>
                </c:pt>
                <c:pt idx="82">
                  <c:v>7.57020757020757</c:v>
                </c:pt>
                <c:pt idx="83">
                  <c:v>6.3786008230452671</c:v>
                </c:pt>
                <c:pt idx="84">
                  <c:v>6.4444444444444446</c:v>
                </c:pt>
                <c:pt idx="85">
                  <c:v>5.4644808743169397</c:v>
                </c:pt>
                <c:pt idx="86">
                  <c:v>5.7411273486430066</c:v>
                </c:pt>
                <c:pt idx="87">
                  <c:v>4.8319327731092434</c:v>
                </c:pt>
                <c:pt idx="88">
                  <c:v>4.2881646655231558</c:v>
                </c:pt>
                <c:pt idx="89">
                  <c:v>3.4562211981566819</c:v>
                </c:pt>
                <c:pt idx="90">
                  <c:v>6.1224489795918364</c:v>
                </c:pt>
                <c:pt idx="91">
                  <c:v>6.3800277392510401</c:v>
                </c:pt>
                <c:pt idx="92">
                  <c:v>6.9364161849710984</c:v>
                </c:pt>
                <c:pt idx="93">
                  <c:v>0</c:v>
                </c:pt>
                <c:pt idx="94">
                  <c:v>7.243243243243243</c:v>
                </c:pt>
                <c:pt idx="95">
                  <c:v>6.7746686303387333</c:v>
                </c:pt>
                <c:pt idx="96">
                  <c:v>3.9603960396039604</c:v>
                </c:pt>
                <c:pt idx="97">
                  <c:v>6.6066066066066069</c:v>
                </c:pt>
                <c:pt idx="98">
                  <c:v>7.9545454545454541</c:v>
                </c:pt>
                <c:pt idx="99">
                  <c:v>6.5739570164348926</c:v>
                </c:pt>
                <c:pt idx="100">
                  <c:v>7.1839080459770113</c:v>
                </c:pt>
                <c:pt idx="101">
                  <c:v>6.674757281553398</c:v>
                </c:pt>
                <c:pt idx="102">
                  <c:v>6.9444444444444446</c:v>
                </c:pt>
                <c:pt idx="103">
                  <c:v>7.7903682719546739</c:v>
                </c:pt>
                <c:pt idx="104">
                  <c:v>5.5970149253731343</c:v>
                </c:pt>
                <c:pt idx="105">
                  <c:v>5.8536585365853657</c:v>
                </c:pt>
                <c:pt idx="106">
                  <c:v>7.0393374741200825</c:v>
                </c:pt>
                <c:pt idx="107">
                  <c:v>6.9105691056910565</c:v>
                </c:pt>
                <c:pt idx="108">
                  <c:v>8.3507306889352826</c:v>
                </c:pt>
                <c:pt idx="109">
                  <c:v>5.5449330783938811</c:v>
                </c:pt>
                <c:pt idx="110">
                  <c:v>9.7142857142857135</c:v>
                </c:pt>
                <c:pt idx="111">
                  <c:v>5.8407079646017701</c:v>
                </c:pt>
                <c:pt idx="112">
                  <c:v>7.0612668743509861</c:v>
                </c:pt>
                <c:pt idx="113">
                  <c:v>5.966277561608301</c:v>
                </c:pt>
                <c:pt idx="114">
                  <c:v>8.5020242914979764</c:v>
                </c:pt>
                <c:pt idx="115">
                  <c:v>0.95313741064336777</c:v>
                </c:pt>
                <c:pt idx="116">
                  <c:v>8.8105726872246688</c:v>
                </c:pt>
                <c:pt idx="117">
                  <c:v>7.1794871794871797</c:v>
                </c:pt>
                <c:pt idx="118">
                  <c:v>6.7321178120617109</c:v>
                </c:pt>
                <c:pt idx="119">
                  <c:v>8.4239130434782616</c:v>
                </c:pt>
                <c:pt idx="120">
                  <c:v>6.9264069264069263</c:v>
                </c:pt>
                <c:pt idx="121">
                  <c:v>3.4375</c:v>
                </c:pt>
                <c:pt idx="122">
                  <c:v>7.9491255961844196</c:v>
                </c:pt>
                <c:pt idx="123">
                  <c:v>6.25</c:v>
                </c:pt>
                <c:pt idx="124">
                  <c:v>5.6152927120669061</c:v>
                </c:pt>
                <c:pt idx="125">
                  <c:v>6.4655172413793105</c:v>
                </c:pt>
                <c:pt idx="126">
                  <c:v>6.653225806451613</c:v>
                </c:pt>
                <c:pt idx="127">
                  <c:v>6.7474048442906573</c:v>
                </c:pt>
                <c:pt idx="128">
                  <c:v>6.653225806451613</c:v>
                </c:pt>
                <c:pt idx="129">
                  <c:v>7.0671378091872787</c:v>
                </c:pt>
                <c:pt idx="130">
                  <c:v>7.9566003616636527</c:v>
                </c:pt>
                <c:pt idx="131">
                  <c:v>4.1760722347629793</c:v>
                </c:pt>
                <c:pt idx="132">
                  <c:v>6.0606060606060606</c:v>
                </c:pt>
                <c:pt idx="133">
                  <c:v>7.084468664850136</c:v>
                </c:pt>
                <c:pt idx="134">
                  <c:v>7.1294559099437151</c:v>
                </c:pt>
                <c:pt idx="135">
                  <c:v>4.375</c:v>
                </c:pt>
                <c:pt idx="136">
                  <c:v>6.0256410256410255</c:v>
                </c:pt>
                <c:pt idx="137">
                  <c:v>4.6728971962616823</c:v>
                </c:pt>
                <c:pt idx="138">
                  <c:v>7.2538860103626943</c:v>
                </c:pt>
                <c:pt idx="139">
                  <c:v>6.5335753176043561</c:v>
                </c:pt>
                <c:pt idx="140">
                  <c:v>5.7784911717495984</c:v>
                </c:pt>
                <c:pt idx="141">
                  <c:v>5.9063136456211813</c:v>
                </c:pt>
                <c:pt idx="142">
                  <c:v>6.3618290258449308</c:v>
                </c:pt>
                <c:pt idx="143">
                  <c:v>8.7743732590529255</c:v>
                </c:pt>
                <c:pt idx="144">
                  <c:v>5.882352941176471</c:v>
                </c:pt>
                <c:pt idx="145">
                  <c:v>5.9259259259259256</c:v>
                </c:pt>
                <c:pt idx="146">
                  <c:v>4.4401544401544397</c:v>
                </c:pt>
                <c:pt idx="147">
                  <c:v>4.4077134986225897</c:v>
                </c:pt>
                <c:pt idx="148">
                  <c:v>6.8783068783068781</c:v>
                </c:pt>
                <c:pt idx="149">
                  <c:v>6.9637883008356543</c:v>
                </c:pt>
                <c:pt idx="150">
                  <c:v>5</c:v>
                </c:pt>
                <c:pt idx="151">
                  <c:v>4.7322540473225407</c:v>
                </c:pt>
                <c:pt idx="152">
                  <c:v>3.5519125683060109</c:v>
                </c:pt>
                <c:pt idx="153">
                  <c:v>4.4169611307420498</c:v>
                </c:pt>
                <c:pt idx="154">
                  <c:v>5.6603773584905657</c:v>
                </c:pt>
                <c:pt idx="155">
                  <c:v>4.3415340086830678</c:v>
                </c:pt>
                <c:pt idx="156">
                  <c:v>6.3745019920318722</c:v>
                </c:pt>
              </c:numCache>
            </c:numRef>
          </c:yVal>
          <c:bubbleSize>
            <c:numRef>
              <c:f>'Мособлдума одномандатный №6'!$J$2:$J$183</c:f>
              <c:numCache>
                <c:formatCode>General</c:formatCode>
                <c:ptCount val="157"/>
                <c:pt idx="0">
                  <c:v>2451</c:v>
                </c:pt>
                <c:pt idx="1">
                  <c:v>1792</c:v>
                </c:pt>
                <c:pt idx="2">
                  <c:v>1987</c:v>
                </c:pt>
                <c:pt idx="3">
                  <c:v>2122</c:v>
                </c:pt>
                <c:pt idx="4">
                  <c:v>1909</c:v>
                </c:pt>
                <c:pt idx="5">
                  <c:v>1948</c:v>
                </c:pt>
                <c:pt idx="6">
                  <c:v>1966</c:v>
                </c:pt>
                <c:pt idx="7">
                  <c:v>1755</c:v>
                </c:pt>
                <c:pt idx="8">
                  <c:v>2053</c:v>
                </c:pt>
                <c:pt idx="9">
                  <c:v>2353</c:v>
                </c:pt>
                <c:pt idx="10">
                  <c:v>2236</c:v>
                </c:pt>
                <c:pt idx="11">
                  <c:v>878</c:v>
                </c:pt>
                <c:pt idx="12">
                  <c:v>1109</c:v>
                </c:pt>
                <c:pt idx="13">
                  <c:v>2346</c:v>
                </c:pt>
                <c:pt idx="14">
                  <c:v>1222</c:v>
                </c:pt>
                <c:pt idx="15">
                  <c:v>1986</c:v>
                </c:pt>
                <c:pt idx="16">
                  <c:v>377</c:v>
                </c:pt>
                <c:pt idx="17">
                  <c:v>1248</c:v>
                </c:pt>
                <c:pt idx="18">
                  <c:v>1716</c:v>
                </c:pt>
                <c:pt idx="19">
                  <c:v>2695</c:v>
                </c:pt>
                <c:pt idx="20">
                  <c:v>1800</c:v>
                </c:pt>
                <c:pt idx="21">
                  <c:v>2108</c:v>
                </c:pt>
                <c:pt idx="22">
                  <c:v>2215</c:v>
                </c:pt>
                <c:pt idx="23">
                  <c:v>2112</c:v>
                </c:pt>
                <c:pt idx="24">
                  <c:v>2268</c:v>
                </c:pt>
                <c:pt idx="25">
                  <c:v>2112</c:v>
                </c:pt>
                <c:pt idx="26">
                  <c:v>2579</c:v>
                </c:pt>
                <c:pt idx="27">
                  <c:v>1659</c:v>
                </c:pt>
                <c:pt idx="28">
                  <c:v>1947</c:v>
                </c:pt>
                <c:pt idx="29">
                  <c:v>857</c:v>
                </c:pt>
                <c:pt idx="30">
                  <c:v>1412</c:v>
                </c:pt>
                <c:pt idx="31">
                  <c:v>2047</c:v>
                </c:pt>
                <c:pt idx="32">
                  <c:v>536</c:v>
                </c:pt>
                <c:pt idx="33">
                  <c:v>1745</c:v>
                </c:pt>
                <c:pt idx="34">
                  <c:v>1453</c:v>
                </c:pt>
                <c:pt idx="35">
                  <c:v>1496</c:v>
                </c:pt>
                <c:pt idx="36">
                  <c:v>2669</c:v>
                </c:pt>
                <c:pt idx="37">
                  <c:v>2799</c:v>
                </c:pt>
                <c:pt idx="38">
                  <c:v>2544</c:v>
                </c:pt>
                <c:pt idx="39">
                  <c:v>1670</c:v>
                </c:pt>
                <c:pt idx="40">
                  <c:v>1891</c:v>
                </c:pt>
                <c:pt idx="41">
                  <c:v>1984</c:v>
                </c:pt>
                <c:pt idx="42">
                  <c:v>628</c:v>
                </c:pt>
                <c:pt idx="43">
                  <c:v>1469</c:v>
                </c:pt>
                <c:pt idx="44">
                  <c:v>2564</c:v>
                </c:pt>
                <c:pt idx="45">
                  <c:v>711</c:v>
                </c:pt>
                <c:pt idx="46">
                  <c:v>676</c:v>
                </c:pt>
                <c:pt idx="47">
                  <c:v>1747</c:v>
                </c:pt>
                <c:pt idx="48">
                  <c:v>1907</c:v>
                </c:pt>
                <c:pt idx="49">
                  <c:v>1194</c:v>
                </c:pt>
                <c:pt idx="50">
                  <c:v>1129</c:v>
                </c:pt>
                <c:pt idx="51">
                  <c:v>1498</c:v>
                </c:pt>
                <c:pt idx="52">
                  <c:v>1859</c:v>
                </c:pt>
                <c:pt idx="53">
                  <c:v>1315</c:v>
                </c:pt>
                <c:pt idx="54">
                  <c:v>1300</c:v>
                </c:pt>
                <c:pt idx="55">
                  <c:v>2038</c:v>
                </c:pt>
                <c:pt idx="56">
                  <c:v>1190</c:v>
                </c:pt>
                <c:pt idx="57">
                  <c:v>1521</c:v>
                </c:pt>
                <c:pt idx="58">
                  <c:v>710</c:v>
                </c:pt>
                <c:pt idx="59">
                  <c:v>1525</c:v>
                </c:pt>
                <c:pt idx="60">
                  <c:v>1495</c:v>
                </c:pt>
                <c:pt idx="61">
                  <c:v>1808</c:v>
                </c:pt>
                <c:pt idx="62">
                  <c:v>2012</c:v>
                </c:pt>
                <c:pt idx="63">
                  <c:v>1681</c:v>
                </c:pt>
                <c:pt idx="64">
                  <c:v>1685</c:v>
                </c:pt>
                <c:pt idx="65">
                  <c:v>1529</c:v>
                </c:pt>
                <c:pt idx="66">
                  <c:v>1800</c:v>
                </c:pt>
                <c:pt idx="67">
                  <c:v>1896</c:v>
                </c:pt>
                <c:pt idx="68">
                  <c:v>1963</c:v>
                </c:pt>
                <c:pt idx="69">
                  <c:v>1902</c:v>
                </c:pt>
                <c:pt idx="70">
                  <c:v>1647</c:v>
                </c:pt>
                <c:pt idx="71">
                  <c:v>1316</c:v>
                </c:pt>
                <c:pt idx="72">
                  <c:v>2387</c:v>
                </c:pt>
                <c:pt idx="73">
                  <c:v>1535</c:v>
                </c:pt>
                <c:pt idx="74">
                  <c:v>2645</c:v>
                </c:pt>
                <c:pt idx="75">
                  <c:v>2043</c:v>
                </c:pt>
                <c:pt idx="76">
                  <c:v>1990</c:v>
                </c:pt>
                <c:pt idx="77">
                  <c:v>988</c:v>
                </c:pt>
                <c:pt idx="78">
                  <c:v>89</c:v>
                </c:pt>
                <c:pt idx="79">
                  <c:v>83</c:v>
                </c:pt>
                <c:pt idx="80">
                  <c:v>1762</c:v>
                </c:pt>
                <c:pt idx="81">
                  <c:v>1063</c:v>
                </c:pt>
                <c:pt idx="82">
                  <c:v>2316</c:v>
                </c:pt>
                <c:pt idx="83">
                  <c:v>1250</c:v>
                </c:pt>
                <c:pt idx="84">
                  <c:v>1265</c:v>
                </c:pt>
                <c:pt idx="85">
                  <c:v>1736</c:v>
                </c:pt>
                <c:pt idx="86">
                  <c:v>2586</c:v>
                </c:pt>
                <c:pt idx="87">
                  <c:v>1243</c:v>
                </c:pt>
                <c:pt idx="88">
                  <c:v>1451</c:v>
                </c:pt>
                <c:pt idx="89">
                  <c:v>1179</c:v>
                </c:pt>
                <c:pt idx="90">
                  <c:v>2285</c:v>
                </c:pt>
                <c:pt idx="91">
                  <c:v>1678</c:v>
                </c:pt>
                <c:pt idx="92">
                  <c:v>2025</c:v>
                </c:pt>
                <c:pt idx="93">
                  <c:v>0</c:v>
                </c:pt>
                <c:pt idx="94">
                  <c:v>2430</c:v>
                </c:pt>
                <c:pt idx="95">
                  <c:v>2209</c:v>
                </c:pt>
                <c:pt idx="96">
                  <c:v>2330</c:v>
                </c:pt>
                <c:pt idx="97">
                  <c:v>2013</c:v>
                </c:pt>
                <c:pt idx="98">
                  <c:v>2023</c:v>
                </c:pt>
                <c:pt idx="99">
                  <c:v>2032</c:v>
                </c:pt>
                <c:pt idx="100">
                  <c:v>1759</c:v>
                </c:pt>
                <c:pt idx="101">
                  <c:v>2293</c:v>
                </c:pt>
                <c:pt idx="102">
                  <c:v>2176</c:v>
                </c:pt>
                <c:pt idx="103">
                  <c:v>1998</c:v>
                </c:pt>
                <c:pt idx="104">
                  <c:v>1307</c:v>
                </c:pt>
                <c:pt idx="105">
                  <c:v>1453</c:v>
                </c:pt>
                <c:pt idx="106">
                  <c:v>1542</c:v>
                </c:pt>
                <c:pt idx="107">
                  <c:v>1462</c:v>
                </c:pt>
                <c:pt idx="108">
                  <c:v>1433</c:v>
                </c:pt>
                <c:pt idx="109">
                  <c:v>1850</c:v>
                </c:pt>
                <c:pt idx="110">
                  <c:v>2111</c:v>
                </c:pt>
                <c:pt idx="111">
                  <c:v>1035</c:v>
                </c:pt>
                <c:pt idx="112">
                  <c:v>1915</c:v>
                </c:pt>
                <c:pt idx="113">
                  <c:v>2290</c:v>
                </c:pt>
                <c:pt idx="114">
                  <c:v>2251</c:v>
                </c:pt>
                <c:pt idx="115">
                  <c:v>1800</c:v>
                </c:pt>
                <c:pt idx="116">
                  <c:v>2162</c:v>
                </c:pt>
                <c:pt idx="117">
                  <c:v>2058</c:v>
                </c:pt>
                <c:pt idx="118">
                  <c:v>2109</c:v>
                </c:pt>
                <c:pt idx="119">
                  <c:v>1251</c:v>
                </c:pt>
                <c:pt idx="120">
                  <c:v>1278</c:v>
                </c:pt>
                <c:pt idx="121">
                  <c:v>981</c:v>
                </c:pt>
                <c:pt idx="122">
                  <c:v>1911</c:v>
                </c:pt>
                <c:pt idx="123">
                  <c:v>2296</c:v>
                </c:pt>
                <c:pt idx="124">
                  <c:v>2186</c:v>
                </c:pt>
                <c:pt idx="125">
                  <c:v>2642</c:v>
                </c:pt>
                <c:pt idx="126">
                  <c:v>1775</c:v>
                </c:pt>
                <c:pt idx="127">
                  <c:v>1894</c:v>
                </c:pt>
                <c:pt idx="128">
                  <c:v>2070</c:v>
                </c:pt>
                <c:pt idx="129">
                  <c:v>2196</c:v>
                </c:pt>
                <c:pt idx="130">
                  <c:v>2551</c:v>
                </c:pt>
                <c:pt idx="131">
                  <c:v>2922</c:v>
                </c:pt>
                <c:pt idx="132">
                  <c:v>752</c:v>
                </c:pt>
                <c:pt idx="133">
                  <c:v>793</c:v>
                </c:pt>
                <c:pt idx="134">
                  <c:v>1731</c:v>
                </c:pt>
                <c:pt idx="135">
                  <c:v>1086</c:v>
                </c:pt>
                <c:pt idx="136">
                  <c:v>3022</c:v>
                </c:pt>
                <c:pt idx="137">
                  <c:v>2514</c:v>
                </c:pt>
                <c:pt idx="138">
                  <c:v>2306</c:v>
                </c:pt>
                <c:pt idx="139">
                  <c:v>2212</c:v>
                </c:pt>
                <c:pt idx="140">
                  <c:v>2419</c:v>
                </c:pt>
                <c:pt idx="141">
                  <c:v>2132</c:v>
                </c:pt>
                <c:pt idx="142">
                  <c:v>2359</c:v>
                </c:pt>
                <c:pt idx="143">
                  <c:v>2958</c:v>
                </c:pt>
                <c:pt idx="144">
                  <c:v>749</c:v>
                </c:pt>
                <c:pt idx="145">
                  <c:v>2663</c:v>
                </c:pt>
                <c:pt idx="146">
                  <c:v>1277</c:v>
                </c:pt>
                <c:pt idx="147">
                  <c:v>1094</c:v>
                </c:pt>
                <c:pt idx="148">
                  <c:v>1232</c:v>
                </c:pt>
                <c:pt idx="149">
                  <c:v>1023</c:v>
                </c:pt>
                <c:pt idx="150">
                  <c:v>1695</c:v>
                </c:pt>
                <c:pt idx="151">
                  <c:v>1677</c:v>
                </c:pt>
                <c:pt idx="152">
                  <c:v>2354</c:v>
                </c:pt>
                <c:pt idx="153">
                  <c:v>1806</c:v>
                </c:pt>
                <c:pt idx="154">
                  <c:v>1294</c:v>
                </c:pt>
                <c:pt idx="155">
                  <c:v>1658</c:v>
                </c:pt>
                <c:pt idx="156">
                  <c:v>1068</c:v>
                </c:pt>
              </c:numCache>
            </c:numRef>
          </c:bubbleSize>
          <c:bubble3D val="0"/>
          <c:extLst>
            <c:ext xmlns:c16="http://schemas.microsoft.com/office/drawing/2014/chart" uri="{C3380CC4-5D6E-409C-BE32-E72D297353CC}">
              <c16:uniqueId val="{00000000-4EB5-476D-84EE-C3C318EFB473}"/>
            </c:ext>
          </c:extLst>
        </c:ser>
        <c:ser>
          <c:idx val="13"/>
          <c:order val="6"/>
          <c:tx>
            <c:strRef>
              <c:f>'Мособлдума одномандатный №6'!$AN$1</c:f>
              <c:strCache>
                <c:ptCount val="1"/>
                <c:pt idx="0">
                  <c:v>Ходырев (КПРФ)</c:v>
                </c:pt>
              </c:strCache>
            </c:strRef>
          </c:tx>
          <c:spPr>
            <a:solidFill>
              <a:srgbClr val="FF0000">
                <a:alpha val="49804"/>
              </a:srgbClr>
            </a:solidFill>
            <a:ln w="25400"/>
          </c:spPr>
          <c:invertIfNegative val="0"/>
          <c:xVal>
            <c:numRef>
              <c:f>'Мособлдума одномандатный №6'!$O$2:$O$183</c:f>
              <c:numCache>
                <c:formatCode>0.0</c:formatCode>
                <c:ptCount val="157"/>
                <c:pt idx="0">
                  <c:v>65.116279069767444</c:v>
                </c:pt>
                <c:pt idx="1">
                  <c:v>53.515625</c:v>
                </c:pt>
                <c:pt idx="2">
                  <c:v>54.705586311021641</c:v>
                </c:pt>
                <c:pt idx="3">
                  <c:v>54.665409990574929</c:v>
                </c:pt>
                <c:pt idx="4">
                  <c:v>48.402304871660554</c:v>
                </c:pt>
                <c:pt idx="5">
                  <c:v>50.256673511293634</c:v>
                </c:pt>
                <c:pt idx="6">
                  <c:v>59.511698880976603</c:v>
                </c:pt>
                <c:pt idx="7">
                  <c:v>73.105413105413106</c:v>
                </c:pt>
                <c:pt idx="8">
                  <c:v>71.602532878714072</c:v>
                </c:pt>
                <c:pt idx="9">
                  <c:v>35.954101147471313</c:v>
                </c:pt>
                <c:pt idx="10">
                  <c:v>25.491949910554563</c:v>
                </c:pt>
                <c:pt idx="11">
                  <c:v>72.551252847380411</c:v>
                </c:pt>
                <c:pt idx="12">
                  <c:v>50.85662759242561</c:v>
                </c:pt>
                <c:pt idx="13">
                  <c:v>34.612105711849956</c:v>
                </c:pt>
                <c:pt idx="14">
                  <c:v>46.317512274959086</c:v>
                </c:pt>
                <c:pt idx="15">
                  <c:v>29.254783484390735</c:v>
                </c:pt>
                <c:pt idx="16">
                  <c:v>42.440318302387269</c:v>
                </c:pt>
                <c:pt idx="17">
                  <c:v>30.929487179487179</c:v>
                </c:pt>
                <c:pt idx="18">
                  <c:v>48.484848484848484</c:v>
                </c:pt>
                <c:pt idx="19">
                  <c:v>35.881261595547308</c:v>
                </c:pt>
                <c:pt idx="20">
                  <c:v>24.111111111111111</c:v>
                </c:pt>
                <c:pt idx="21">
                  <c:v>46.110056925996204</c:v>
                </c:pt>
                <c:pt idx="22">
                  <c:v>30.474040632054177</c:v>
                </c:pt>
                <c:pt idx="23">
                  <c:v>36.268939393939391</c:v>
                </c:pt>
                <c:pt idx="24">
                  <c:v>32.671957671957671</c:v>
                </c:pt>
                <c:pt idx="25">
                  <c:v>37.642045454545453</c:v>
                </c:pt>
                <c:pt idx="26">
                  <c:v>60.449786739046139</c:v>
                </c:pt>
                <c:pt idx="27">
                  <c:v>80.650994575045203</c:v>
                </c:pt>
                <c:pt idx="28">
                  <c:v>37.082691319979453</c:v>
                </c:pt>
                <c:pt idx="29">
                  <c:v>38.739789964994166</c:v>
                </c:pt>
                <c:pt idx="30">
                  <c:v>39.518413597733712</c:v>
                </c:pt>
                <c:pt idx="31">
                  <c:v>34.831460674157306</c:v>
                </c:pt>
                <c:pt idx="32">
                  <c:v>30.223880597014926</c:v>
                </c:pt>
                <c:pt idx="33">
                  <c:v>33.638968481375358</c:v>
                </c:pt>
                <c:pt idx="34">
                  <c:v>33.585684790089473</c:v>
                </c:pt>
                <c:pt idx="35">
                  <c:v>42.446524064171122</c:v>
                </c:pt>
                <c:pt idx="36">
                  <c:v>34.732109404271263</c:v>
                </c:pt>
                <c:pt idx="37">
                  <c:v>27.295462665237586</c:v>
                </c:pt>
                <c:pt idx="38">
                  <c:v>38.404088050314463</c:v>
                </c:pt>
                <c:pt idx="39">
                  <c:v>36.167664670658681</c:v>
                </c:pt>
                <c:pt idx="40">
                  <c:v>43.786356425171867</c:v>
                </c:pt>
                <c:pt idx="41">
                  <c:v>26.260080645161292</c:v>
                </c:pt>
                <c:pt idx="42">
                  <c:v>26.273885350318473</c:v>
                </c:pt>
                <c:pt idx="43">
                  <c:v>29.20353982300885</c:v>
                </c:pt>
                <c:pt idx="44">
                  <c:v>56.201248049922</c:v>
                </c:pt>
                <c:pt idx="45">
                  <c:v>64.135021097046419</c:v>
                </c:pt>
                <c:pt idx="46">
                  <c:v>50.591715976331358</c:v>
                </c:pt>
                <c:pt idx="47">
                  <c:v>43.617630223239843</c:v>
                </c:pt>
                <c:pt idx="48">
                  <c:v>52.123754588358679</c:v>
                </c:pt>
                <c:pt idx="49">
                  <c:v>37.353433835845898</c:v>
                </c:pt>
                <c:pt idx="50">
                  <c:v>40.566873339238263</c:v>
                </c:pt>
                <c:pt idx="51">
                  <c:v>39.118825100133513</c:v>
                </c:pt>
                <c:pt idx="52">
                  <c:v>20.602474448628296</c:v>
                </c:pt>
                <c:pt idx="53">
                  <c:v>33.231939163498097</c:v>
                </c:pt>
                <c:pt idx="54">
                  <c:v>48.615384615384613</c:v>
                </c:pt>
                <c:pt idx="55">
                  <c:v>53.189401373895976</c:v>
                </c:pt>
                <c:pt idx="56">
                  <c:v>58.823529411764703</c:v>
                </c:pt>
                <c:pt idx="57">
                  <c:v>48.980933596318209</c:v>
                </c:pt>
                <c:pt idx="58">
                  <c:v>40.422535211267608</c:v>
                </c:pt>
                <c:pt idx="59">
                  <c:v>50.819672131147541</c:v>
                </c:pt>
                <c:pt idx="60">
                  <c:v>39.598662207357862</c:v>
                </c:pt>
                <c:pt idx="61">
                  <c:v>50.497787610619469</c:v>
                </c:pt>
                <c:pt idx="62">
                  <c:v>44.234592445328033</c:v>
                </c:pt>
                <c:pt idx="63">
                  <c:v>40.035693039857229</c:v>
                </c:pt>
                <c:pt idx="64">
                  <c:v>38.27893175074184</c:v>
                </c:pt>
                <c:pt idx="65">
                  <c:v>43.427076520601702</c:v>
                </c:pt>
                <c:pt idx="66">
                  <c:v>35.166666666666664</c:v>
                </c:pt>
                <c:pt idx="67">
                  <c:v>36.234177215189874</c:v>
                </c:pt>
                <c:pt idx="68">
                  <c:v>43.453897096281203</c:v>
                </c:pt>
                <c:pt idx="69">
                  <c:v>48.370136698212406</c:v>
                </c:pt>
                <c:pt idx="70">
                  <c:v>50.819672131147541</c:v>
                </c:pt>
                <c:pt idx="71">
                  <c:v>53.723404255319146</c:v>
                </c:pt>
                <c:pt idx="72">
                  <c:v>47.549224968579807</c:v>
                </c:pt>
                <c:pt idx="73">
                  <c:v>52.247557003257327</c:v>
                </c:pt>
                <c:pt idx="74">
                  <c:v>31.077504725897921</c:v>
                </c:pt>
                <c:pt idx="75">
                  <c:v>33.969652471855113</c:v>
                </c:pt>
                <c:pt idx="76">
                  <c:v>52.412060301507537</c:v>
                </c:pt>
                <c:pt idx="77">
                  <c:v>54.251012145748987</c:v>
                </c:pt>
                <c:pt idx="78">
                  <c:v>100</c:v>
                </c:pt>
                <c:pt idx="79">
                  <c:v>67.46987951807229</c:v>
                </c:pt>
                <c:pt idx="80">
                  <c:v>44.665153234960272</c:v>
                </c:pt>
                <c:pt idx="81">
                  <c:v>34.619002822201317</c:v>
                </c:pt>
                <c:pt idx="82">
                  <c:v>35.362694300518136</c:v>
                </c:pt>
                <c:pt idx="83">
                  <c:v>39.04</c:v>
                </c:pt>
                <c:pt idx="84">
                  <c:v>35.573122529644266</c:v>
                </c:pt>
                <c:pt idx="85">
                  <c:v>43.721198156682028</c:v>
                </c:pt>
                <c:pt idx="86">
                  <c:v>38.940448569218873</c:v>
                </c:pt>
                <c:pt idx="87">
                  <c:v>38.696701528559935</c:v>
                </c:pt>
                <c:pt idx="88">
                  <c:v>40.17918676774638</c:v>
                </c:pt>
                <c:pt idx="89">
                  <c:v>36.810856658184903</c:v>
                </c:pt>
                <c:pt idx="90">
                  <c:v>34.310722100656456</c:v>
                </c:pt>
                <c:pt idx="91">
                  <c:v>44.636471990464841</c:v>
                </c:pt>
                <c:pt idx="92">
                  <c:v>34.172839506172842</c:v>
                </c:pt>
                <c:pt idx="93">
                  <c:v>0</c:v>
                </c:pt>
                <c:pt idx="94">
                  <c:v>38.10699588477366</c:v>
                </c:pt>
                <c:pt idx="95">
                  <c:v>30.737890448166592</c:v>
                </c:pt>
                <c:pt idx="96">
                  <c:v>52.017167381974247</c:v>
                </c:pt>
                <c:pt idx="97">
                  <c:v>34.624937903626432</c:v>
                </c:pt>
                <c:pt idx="98">
                  <c:v>35.096391497775578</c:v>
                </c:pt>
                <c:pt idx="99">
                  <c:v>42.716535433070867</c:v>
                </c:pt>
                <c:pt idx="100">
                  <c:v>39.681637293916999</c:v>
                </c:pt>
                <c:pt idx="101">
                  <c:v>35.935455734845178</c:v>
                </c:pt>
                <c:pt idx="102">
                  <c:v>33.088235294117645</c:v>
                </c:pt>
                <c:pt idx="103">
                  <c:v>35.335335335335337</c:v>
                </c:pt>
                <c:pt idx="104">
                  <c:v>41.009946442234124</c:v>
                </c:pt>
                <c:pt idx="105">
                  <c:v>70.199587061252586</c:v>
                </c:pt>
                <c:pt idx="106">
                  <c:v>31.322957198443579</c:v>
                </c:pt>
                <c:pt idx="107">
                  <c:v>33.652530779753761</c:v>
                </c:pt>
                <c:pt idx="108">
                  <c:v>33.426378227494766</c:v>
                </c:pt>
                <c:pt idx="109">
                  <c:v>28.27027027027027</c:v>
                </c:pt>
                <c:pt idx="110">
                  <c:v>41.449549976314543</c:v>
                </c:pt>
                <c:pt idx="111">
                  <c:v>54.589371980676326</c:v>
                </c:pt>
                <c:pt idx="112">
                  <c:v>50.391644908616186</c:v>
                </c:pt>
                <c:pt idx="113">
                  <c:v>34.235807860262007</c:v>
                </c:pt>
                <c:pt idx="114">
                  <c:v>32.918702798756108</c:v>
                </c:pt>
                <c:pt idx="115">
                  <c:v>69.944444444444443</c:v>
                </c:pt>
                <c:pt idx="116">
                  <c:v>31.498612395929694</c:v>
                </c:pt>
                <c:pt idx="117">
                  <c:v>39.067055393586003</c:v>
                </c:pt>
                <c:pt idx="118">
                  <c:v>35.846372688477949</c:v>
                </c:pt>
                <c:pt idx="119">
                  <c:v>29.496402877697843</c:v>
                </c:pt>
                <c:pt idx="120">
                  <c:v>36.15023474178404</c:v>
                </c:pt>
                <c:pt idx="121">
                  <c:v>32.619775739041792</c:v>
                </c:pt>
                <c:pt idx="122">
                  <c:v>32.914704343275773</c:v>
                </c:pt>
                <c:pt idx="123">
                  <c:v>36.454703832752614</c:v>
                </c:pt>
                <c:pt idx="124">
                  <c:v>38.655077767612077</c:v>
                </c:pt>
                <c:pt idx="125">
                  <c:v>26.343679031037095</c:v>
                </c:pt>
                <c:pt idx="126">
                  <c:v>27.943661971830984</c:v>
                </c:pt>
                <c:pt idx="127">
                  <c:v>30.517423442449843</c:v>
                </c:pt>
                <c:pt idx="128">
                  <c:v>24.2512077294686</c:v>
                </c:pt>
                <c:pt idx="129">
                  <c:v>25.774134790528233</c:v>
                </c:pt>
                <c:pt idx="130">
                  <c:v>21.677773422187379</c:v>
                </c:pt>
                <c:pt idx="131">
                  <c:v>30.321697467488022</c:v>
                </c:pt>
                <c:pt idx="132">
                  <c:v>53.324468085106382</c:v>
                </c:pt>
                <c:pt idx="133">
                  <c:v>50.189155107187894</c:v>
                </c:pt>
                <c:pt idx="134">
                  <c:v>31.195840554592721</c:v>
                </c:pt>
                <c:pt idx="135">
                  <c:v>44.290976058931861</c:v>
                </c:pt>
                <c:pt idx="136">
                  <c:v>25.843812045003308</c:v>
                </c:pt>
                <c:pt idx="137">
                  <c:v>21.28082736674622</c:v>
                </c:pt>
                <c:pt idx="138">
                  <c:v>25.108412836079793</c:v>
                </c:pt>
                <c:pt idx="139">
                  <c:v>25.090415913200722</c:v>
                </c:pt>
                <c:pt idx="140">
                  <c:v>25.754443985117817</c:v>
                </c:pt>
                <c:pt idx="141">
                  <c:v>23.076923076923077</c:v>
                </c:pt>
                <c:pt idx="142">
                  <c:v>21.449766850360323</c:v>
                </c:pt>
                <c:pt idx="143">
                  <c:v>24.273157538877619</c:v>
                </c:pt>
                <c:pt idx="144">
                  <c:v>16.688918558077436</c:v>
                </c:pt>
                <c:pt idx="145">
                  <c:v>20.277882087870822</c:v>
                </c:pt>
                <c:pt idx="146">
                  <c:v>40.563821456538761</c:v>
                </c:pt>
                <c:pt idx="147">
                  <c:v>33.180987202925046</c:v>
                </c:pt>
                <c:pt idx="148">
                  <c:v>30.681818181818183</c:v>
                </c:pt>
                <c:pt idx="149">
                  <c:v>35.09286412512219</c:v>
                </c:pt>
                <c:pt idx="150">
                  <c:v>36.991150442477874</c:v>
                </c:pt>
                <c:pt idx="151">
                  <c:v>47.942754919499109</c:v>
                </c:pt>
                <c:pt idx="152">
                  <c:v>62.192013593882756</c:v>
                </c:pt>
                <c:pt idx="153">
                  <c:v>31.339977851605759</c:v>
                </c:pt>
                <c:pt idx="154">
                  <c:v>40.958268933539415</c:v>
                </c:pt>
                <c:pt idx="155">
                  <c:v>41.6767189384801</c:v>
                </c:pt>
                <c:pt idx="156">
                  <c:v>23.50187265917603</c:v>
                </c:pt>
              </c:numCache>
            </c:numRef>
          </c:xVal>
          <c:yVal>
            <c:numRef>
              <c:f>'Мособлдума одномандатный №6'!$AN$2:$AN$183</c:f>
              <c:numCache>
                <c:formatCode>0.0</c:formatCode>
                <c:ptCount val="157"/>
                <c:pt idx="0">
                  <c:v>16.604010025062657</c:v>
                </c:pt>
                <c:pt idx="1">
                  <c:v>17.032392894461861</c:v>
                </c:pt>
                <c:pt idx="2">
                  <c:v>2.4007386888273317</c:v>
                </c:pt>
                <c:pt idx="3">
                  <c:v>18.252595155709344</c:v>
                </c:pt>
                <c:pt idx="4">
                  <c:v>16.867469879518072</c:v>
                </c:pt>
                <c:pt idx="5">
                  <c:v>18.488253319713994</c:v>
                </c:pt>
                <c:pt idx="6">
                  <c:v>11.452991452991453</c:v>
                </c:pt>
                <c:pt idx="7">
                  <c:v>13.536776212832551</c:v>
                </c:pt>
                <c:pt idx="8">
                  <c:v>10.612244897959183</c:v>
                </c:pt>
                <c:pt idx="9">
                  <c:v>18.928571428571427</c:v>
                </c:pt>
                <c:pt idx="10">
                  <c:v>27.894736842105264</c:v>
                </c:pt>
                <c:pt idx="11">
                  <c:v>12.558869701726845</c:v>
                </c:pt>
                <c:pt idx="12">
                  <c:v>18.617021276595743</c:v>
                </c:pt>
                <c:pt idx="13">
                  <c:v>18.226600985221676</c:v>
                </c:pt>
                <c:pt idx="14">
                  <c:v>12.190812720848056</c:v>
                </c:pt>
                <c:pt idx="15">
                  <c:v>21.514629948364888</c:v>
                </c:pt>
                <c:pt idx="16">
                  <c:v>20</c:v>
                </c:pt>
                <c:pt idx="17">
                  <c:v>21.05263157894737</c:v>
                </c:pt>
                <c:pt idx="18">
                  <c:v>17.067307692307693</c:v>
                </c:pt>
                <c:pt idx="19">
                  <c:v>21.265560165975103</c:v>
                </c:pt>
                <c:pt idx="20">
                  <c:v>21.658986175115206</c:v>
                </c:pt>
                <c:pt idx="21">
                  <c:v>12.757201646090534</c:v>
                </c:pt>
                <c:pt idx="22">
                  <c:v>27.002967359050444</c:v>
                </c:pt>
                <c:pt idx="23">
                  <c:v>23.368146214099216</c:v>
                </c:pt>
                <c:pt idx="24">
                  <c:v>19.197707736389685</c:v>
                </c:pt>
                <c:pt idx="25">
                  <c:v>22.89308176100629</c:v>
                </c:pt>
                <c:pt idx="26">
                  <c:v>11.738293778062861</c:v>
                </c:pt>
                <c:pt idx="27">
                  <c:v>6.8011958146487297</c:v>
                </c:pt>
                <c:pt idx="28">
                  <c:v>13.850415512465373</c:v>
                </c:pt>
                <c:pt idx="29">
                  <c:v>20.481927710843372</c:v>
                </c:pt>
                <c:pt idx="30">
                  <c:v>18.996415770609318</c:v>
                </c:pt>
                <c:pt idx="31">
                  <c:v>16.124469589816126</c:v>
                </c:pt>
                <c:pt idx="32">
                  <c:v>20.987654320987655</c:v>
                </c:pt>
                <c:pt idx="33">
                  <c:v>18.600682593856654</c:v>
                </c:pt>
                <c:pt idx="34">
                  <c:v>19.057377049180328</c:v>
                </c:pt>
                <c:pt idx="35">
                  <c:v>14.803149606299213</c:v>
                </c:pt>
                <c:pt idx="36">
                  <c:v>18.0151024811219</c:v>
                </c:pt>
                <c:pt idx="37">
                  <c:v>14.921465968586388</c:v>
                </c:pt>
                <c:pt idx="38">
                  <c:v>15.148413510747185</c:v>
                </c:pt>
                <c:pt idx="39">
                  <c:v>24.503311258278146</c:v>
                </c:pt>
                <c:pt idx="40">
                  <c:v>11.594202898550725</c:v>
                </c:pt>
                <c:pt idx="41">
                  <c:v>20.345489443378121</c:v>
                </c:pt>
                <c:pt idx="42">
                  <c:v>16.363636363636363</c:v>
                </c:pt>
                <c:pt idx="43">
                  <c:v>26.107226107226108</c:v>
                </c:pt>
                <c:pt idx="44">
                  <c:v>18.459403192227619</c:v>
                </c:pt>
                <c:pt idx="45">
                  <c:v>18.859649122807017</c:v>
                </c:pt>
                <c:pt idx="46">
                  <c:v>13.450292397660819</c:v>
                </c:pt>
                <c:pt idx="47">
                  <c:v>20.73490813648294</c:v>
                </c:pt>
                <c:pt idx="48">
                  <c:v>21.931589537223338</c:v>
                </c:pt>
                <c:pt idx="49">
                  <c:v>19.570405727923628</c:v>
                </c:pt>
                <c:pt idx="50">
                  <c:v>20.131291028446391</c:v>
                </c:pt>
                <c:pt idx="51">
                  <c:v>22.066549912434326</c:v>
                </c:pt>
                <c:pt idx="52">
                  <c:v>19.843342036553526</c:v>
                </c:pt>
                <c:pt idx="53">
                  <c:v>25.229357798165136</c:v>
                </c:pt>
                <c:pt idx="54">
                  <c:v>15.189873417721518</c:v>
                </c:pt>
                <c:pt idx="55">
                  <c:v>18.173431734317344</c:v>
                </c:pt>
                <c:pt idx="56">
                  <c:v>14.495114006514658</c:v>
                </c:pt>
                <c:pt idx="57">
                  <c:v>13.825503355704697</c:v>
                </c:pt>
                <c:pt idx="58">
                  <c:v>17.832167832167833</c:v>
                </c:pt>
                <c:pt idx="59">
                  <c:v>18.967741935483872</c:v>
                </c:pt>
                <c:pt idx="60">
                  <c:v>24.831081081081081</c:v>
                </c:pt>
                <c:pt idx="61">
                  <c:v>16.995614035087719</c:v>
                </c:pt>
                <c:pt idx="62">
                  <c:v>21.264367816091955</c:v>
                </c:pt>
                <c:pt idx="63">
                  <c:v>18.98355754857997</c:v>
                </c:pt>
                <c:pt idx="64">
                  <c:v>24.186046511627907</c:v>
                </c:pt>
                <c:pt idx="65">
                  <c:v>19.578313253012048</c:v>
                </c:pt>
                <c:pt idx="66">
                  <c:v>20.537124802527646</c:v>
                </c:pt>
                <c:pt idx="67">
                  <c:v>21.12676056338028</c:v>
                </c:pt>
                <c:pt idx="68">
                  <c:v>16.764361078546308</c:v>
                </c:pt>
                <c:pt idx="69">
                  <c:v>14.239130434782609</c:v>
                </c:pt>
                <c:pt idx="70">
                  <c:v>14.336917562724015</c:v>
                </c:pt>
                <c:pt idx="71">
                  <c:v>13.154172560113155</c:v>
                </c:pt>
                <c:pt idx="72">
                  <c:v>13.568281938325992</c:v>
                </c:pt>
                <c:pt idx="73">
                  <c:v>12.468827930174564</c:v>
                </c:pt>
                <c:pt idx="74">
                  <c:v>19.586374695863746</c:v>
                </c:pt>
                <c:pt idx="75">
                  <c:v>18.155619596541786</c:v>
                </c:pt>
                <c:pt idx="76">
                  <c:v>17.282608695652176</c:v>
                </c:pt>
                <c:pt idx="77">
                  <c:v>13.257575757575758</c:v>
                </c:pt>
                <c:pt idx="78">
                  <c:v>2.2471910112359552</c:v>
                </c:pt>
                <c:pt idx="79">
                  <c:v>21.428571428571427</c:v>
                </c:pt>
                <c:pt idx="80">
                  <c:v>19.949174078780178</c:v>
                </c:pt>
                <c:pt idx="81">
                  <c:v>21.467391304347824</c:v>
                </c:pt>
                <c:pt idx="82">
                  <c:v>20.390720390720389</c:v>
                </c:pt>
                <c:pt idx="83">
                  <c:v>18.106995884773664</c:v>
                </c:pt>
                <c:pt idx="84">
                  <c:v>19.555555555555557</c:v>
                </c:pt>
                <c:pt idx="85">
                  <c:v>17.759562841530055</c:v>
                </c:pt>
                <c:pt idx="86">
                  <c:v>17.640918580375782</c:v>
                </c:pt>
                <c:pt idx="87">
                  <c:v>24.369747899159663</c:v>
                </c:pt>
                <c:pt idx="88">
                  <c:v>13.722126929674099</c:v>
                </c:pt>
                <c:pt idx="89">
                  <c:v>16.820276497695854</c:v>
                </c:pt>
                <c:pt idx="90">
                  <c:v>21.045918367346939</c:v>
                </c:pt>
                <c:pt idx="91">
                  <c:v>18.446601941747574</c:v>
                </c:pt>
                <c:pt idx="92">
                  <c:v>23.554913294797689</c:v>
                </c:pt>
                <c:pt idx="93">
                  <c:v>0</c:v>
                </c:pt>
                <c:pt idx="94">
                  <c:v>18.810810810810811</c:v>
                </c:pt>
                <c:pt idx="95">
                  <c:v>19.293078055964653</c:v>
                </c:pt>
                <c:pt idx="96">
                  <c:v>15.099009900990099</c:v>
                </c:pt>
                <c:pt idx="97">
                  <c:v>19.219219219219219</c:v>
                </c:pt>
                <c:pt idx="98">
                  <c:v>18.892045454545453</c:v>
                </c:pt>
                <c:pt idx="99">
                  <c:v>17.825537294563844</c:v>
                </c:pt>
                <c:pt idx="100">
                  <c:v>21.120689655172413</c:v>
                </c:pt>
                <c:pt idx="101">
                  <c:v>20.752427184466018</c:v>
                </c:pt>
                <c:pt idx="102">
                  <c:v>19.305555555555557</c:v>
                </c:pt>
                <c:pt idx="103">
                  <c:v>16.997167138810198</c:v>
                </c:pt>
                <c:pt idx="104">
                  <c:v>23.32089552238806</c:v>
                </c:pt>
                <c:pt idx="105">
                  <c:v>19.512195121951219</c:v>
                </c:pt>
                <c:pt idx="106">
                  <c:v>19.254658385093169</c:v>
                </c:pt>
                <c:pt idx="107">
                  <c:v>22.357723577235774</c:v>
                </c:pt>
                <c:pt idx="108">
                  <c:v>21.085594989561585</c:v>
                </c:pt>
                <c:pt idx="109">
                  <c:v>20.841300191204589</c:v>
                </c:pt>
                <c:pt idx="110">
                  <c:v>16.228571428571428</c:v>
                </c:pt>
                <c:pt idx="111">
                  <c:v>17.522123893805311</c:v>
                </c:pt>
                <c:pt idx="112">
                  <c:v>11.422637590861889</c:v>
                </c:pt>
                <c:pt idx="113">
                  <c:v>19.974059662775616</c:v>
                </c:pt>
                <c:pt idx="114">
                  <c:v>16.464237516869098</c:v>
                </c:pt>
                <c:pt idx="115">
                  <c:v>1.4297061159650517</c:v>
                </c:pt>
                <c:pt idx="116">
                  <c:v>20.11747430249633</c:v>
                </c:pt>
                <c:pt idx="117">
                  <c:v>22.051282051282051</c:v>
                </c:pt>
                <c:pt idx="118">
                  <c:v>18.373071528751755</c:v>
                </c:pt>
                <c:pt idx="119">
                  <c:v>20.652173913043477</c:v>
                </c:pt>
                <c:pt idx="120">
                  <c:v>17.0995670995671</c:v>
                </c:pt>
                <c:pt idx="121">
                  <c:v>14.6875</c:v>
                </c:pt>
                <c:pt idx="122">
                  <c:v>19.713831478537362</c:v>
                </c:pt>
                <c:pt idx="123">
                  <c:v>20.673076923076923</c:v>
                </c:pt>
                <c:pt idx="124">
                  <c:v>19.593787335722819</c:v>
                </c:pt>
                <c:pt idx="125">
                  <c:v>20.258620689655171</c:v>
                </c:pt>
                <c:pt idx="126">
                  <c:v>20.362903225806452</c:v>
                </c:pt>
                <c:pt idx="127">
                  <c:v>22.318339100346019</c:v>
                </c:pt>
                <c:pt idx="128">
                  <c:v>20.161290322580644</c:v>
                </c:pt>
                <c:pt idx="129">
                  <c:v>18.727915194346291</c:v>
                </c:pt>
                <c:pt idx="130">
                  <c:v>19.710669077757686</c:v>
                </c:pt>
                <c:pt idx="131">
                  <c:v>13.318284424379232</c:v>
                </c:pt>
                <c:pt idx="132">
                  <c:v>12.626262626262626</c:v>
                </c:pt>
                <c:pt idx="133">
                  <c:v>14.986376021798366</c:v>
                </c:pt>
                <c:pt idx="134">
                  <c:v>20.262664165103189</c:v>
                </c:pt>
                <c:pt idx="135">
                  <c:v>7.291666666666667</c:v>
                </c:pt>
                <c:pt idx="136">
                  <c:v>19.615384615384617</c:v>
                </c:pt>
                <c:pt idx="137">
                  <c:v>18.130841121495326</c:v>
                </c:pt>
                <c:pt idx="138">
                  <c:v>20.898100172711572</c:v>
                </c:pt>
                <c:pt idx="139">
                  <c:v>19.056261343012704</c:v>
                </c:pt>
                <c:pt idx="140">
                  <c:v>19.743178170144461</c:v>
                </c:pt>
                <c:pt idx="141">
                  <c:v>16.089613034623216</c:v>
                </c:pt>
                <c:pt idx="142">
                  <c:v>20.675944333996025</c:v>
                </c:pt>
                <c:pt idx="143">
                  <c:v>22.562674094707521</c:v>
                </c:pt>
                <c:pt idx="144">
                  <c:v>21.008403361344538</c:v>
                </c:pt>
                <c:pt idx="145">
                  <c:v>18.333333333333332</c:v>
                </c:pt>
                <c:pt idx="146">
                  <c:v>13.32046332046332</c:v>
                </c:pt>
                <c:pt idx="147">
                  <c:v>11.570247933884298</c:v>
                </c:pt>
                <c:pt idx="148">
                  <c:v>21.164021164021165</c:v>
                </c:pt>
                <c:pt idx="149">
                  <c:v>20.055710306406684</c:v>
                </c:pt>
                <c:pt idx="150">
                  <c:v>13.928571428571429</c:v>
                </c:pt>
                <c:pt idx="151">
                  <c:v>22.291407222914071</c:v>
                </c:pt>
                <c:pt idx="152">
                  <c:v>7.9918032786885247</c:v>
                </c:pt>
                <c:pt idx="153">
                  <c:v>13.250883392226148</c:v>
                </c:pt>
                <c:pt idx="154">
                  <c:v>39.811320754716981</c:v>
                </c:pt>
                <c:pt idx="155">
                  <c:v>42.981186685962371</c:v>
                </c:pt>
                <c:pt idx="156">
                  <c:v>21.513944223107568</c:v>
                </c:pt>
              </c:numCache>
            </c:numRef>
          </c:yVal>
          <c:bubbleSize>
            <c:numRef>
              <c:f>'Мособлдума одномандатный №6'!$J$2:$J$183</c:f>
              <c:numCache>
                <c:formatCode>General</c:formatCode>
                <c:ptCount val="157"/>
                <c:pt idx="0">
                  <c:v>2451</c:v>
                </c:pt>
                <c:pt idx="1">
                  <c:v>1792</c:v>
                </c:pt>
                <c:pt idx="2">
                  <c:v>1987</c:v>
                </c:pt>
                <c:pt idx="3">
                  <c:v>2122</c:v>
                </c:pt>
                <c:pt idx="4">
                  <c:v>1909</c:v>
                </c:pt>
                <c:pt idx="5">
                  <c:v>1948</c:v>
                </c:pt>
                <c:pt idx="6">
                  <c:v>1966</c:v>
                </c:pt>
                <c:pt idx="7">
                  <c:v>1755</c:v>
                </c:pt>
                <c:pt idx="8">
                  <c:v>2053</c:v>
                </c:pt>
                <c:pt idx="9">
                  <c:v>2353</c:v>
                </c:pt>
                <c:pt idx="10">
                  <c:v>2236</c:v>
                </c:pt>
                <c:pt idx="11">
                  <c:v>878</c:v>
                </c:pt>
                <c:pt idx="12">
                  <c:v>1109</c:v>
                </c:pt>
                <c:pt idx="13">
                  <c:v>2346</c:v>
                </c:pt>
                <c:pt idx="14">
                  <c:v>1222</c:v>
                </c:pt>
                <c:pt idx="15">
                  <c:v>1986</c:v>
                </c:pt>
                <c:pt idx="16">
                  <c:v>377</c:v>
                </c:pt>
                <c:pt idx="17">
                  <c:v>1248</c:v>
                </c:pt>
                <c:pt idx="18">
                  <c:v>1716</c:v>
                </c:pt>
                <c:pt idx="19">
                  <c:v>2695</c:v>
                </c:pt>
                <c:pt idx="20">
                  <c:v>1800</c:v>
                </c:pt>
                <c:pt idx="21">
                  <c:v>2108</c:v>
                </c:pt>
                <c:pt idx="22">
                  <c:v>2215</c:v>
                </c:pt>
                <c:pt idx="23">
                  <c:v>2112</c:v>
                </c:pt>
                <c:pt idx="24">
                  <c:v>2268</c:v>
                </c:pt>
                <c:pt idx="25">
                  <c:v>2112</c:v>
                </c:pt>
                <c:pt idx="26">
                  <c:v>2579</c:v>
                </c:pt>
                <c:pt idx="27">
                  <c:v>1659</c:v>
                </c:pt>
                <c:pt idx="28">
                  <c:v>1947</c:v>
                </c:pt>
                <c:pt idx="29">
                  <c:v>857</c:v>
                </c:pt>
                <c:pt idx="30">
                  <c:v>1412</c:v>
                </c:pt>
                <c:pt idx="31">
                  <c:v>2047</c:v>
                </c:pt>
                <c:pt idx="32">
                  <c:v>536</c:v>
                </c:pt>
                <c:pt idx="33">
                  <c:v>1745</c:v>
                </c:pt>
                <c:pt idx="34">
                  <c:v>1453</c:v>
                </c:pt>
                <c:pt idx="35">
                  <c:v>1496</c:v>
                </c:pt>
                <c:pt idx="36">
                  <c:v>2669</c:v>
                </c:pt>
                <c:pt idx="37">
                  <c:v>2799</c:v>
                </c:pt>
                <c:pt idx="38">
                  <c:v>2544</c:v>
                </c:pt>
                <c:pt idx="39">
                  <c:v>1670</c:v>
                </c:pt>
                <c:pt idx="40">
                  <c:v>1891</c:v>
                </c:pt>
                <c:pt idx="41">
                  <c:v>1984</c:v>
                </c:pt>
                <c:pt idx="42">
                  <c:v>628</c:v>
                </c:pt>
                <c:pt idx="43">
                  <c:v>1469</c:v>
                </c:pt>
                <c:pt idx="44">
                  <c:v>2564</c:v>
                </c:pt>
                <c:pt idx="45">
                  <c:v>711</c:v>
                </c:pt>
                <c:pt idx="46">
                  <c:v>676</c:v>
                </c:pt>
                <c:pt idx="47">
                  <c:v>1747</c:v>
                </c:pt>
                <c:pt idx="48">
                  <c:v>1907</c:v>
                </c:pt>
                <c:pt idx="49">
                  <c:v>1194</c:v>
                </c:pt>
                <c:pt idx="50">
                  <c:v>1129</c:v>
                </c:pt>
                <c:pt idx="51">
                  <c:v>1498</c:v>
                </c:pt>
                <c:pt idx="52">
                  <c:v>1859</c:v>
                </c:pt>
                <c:pt idx="53">
                  <c:v>1315</c:v>
                </c:pt>
                <c:pt idx="54">
                  <c:v>1300</c:v>
                </c:pt>
                <c:pt idx="55">
                  <c:v>2038</c:v>
                </c:pt>
                <c:pt idx="56">
                  <c:v>1190</c:v>
                </c:pt>
                <c:pt idx="57">
                  <c:v>1521</c:v>
                </c:pt>
                <c:pt idx="58">
                  <c:v>710</c:v>
                </c:pt>
                <c:pt idx="59">
                  <c:v>1525</c:v>
                </c:pt>
                <c:pt idx="60">
                  <c:v>1495</c:v>
                </c:pt>
                <c:pt idx="61">
                  <c:v>1808</c:v>
                </c:pt>
                <c:pt idx="62">
                  <c:v>2012</c:v>
                </c:pt>
                <c:pt idx="63">
                  <c:v>1681</c:v>
                </c:pt>
                <c:pt idx="64">
                  <c:v>1685</c:v>
                </c:pt>
                <c:pt idx="65">
                  <c:v>1529</c:v>
                </c:pt>
                <c:pt idx="66">
                  <c:v>1800</c:v>
                </c:pt>
                <c:pt idx="67">
                  <c:v>1896</c:v>
                </c:pt>
                <c:pt idx="68">
                  <c:v>1963</c:v>
                </c:pt>
                <c:pt idx="69">
                  <c:v>1902</c:v>
                </c:pt>
                <c:pt idx="70">
                  <c:v>1647</c:v>
                </c:pt>
                <c:pt idx="71">
                  <c:v>1316</c:v>
                </c:pt>
                <c:pt idx="72">
                  <c:v>2387</c:v>
                </c:pt>
                <c:pt idx="73">
                  <c:v>1535</c:v>
                </c:pt>
                <c:pt idx="74">
                  <c:v>2645</c:v>
                </c:pt>
                <c:pt idx="75">
                  <c:v>2043</c:v>
                </c:pt>
                <c:pt idx="76">
                  <c:v>1990</c:v>
                </c:pt>
                <c:pt idx="77">
                  <c:v>988</c:v>
                </c:pt>
                <c:pt idx="78">
                  <c:v>89</c:v>
                </c:pt>
                <c:pt idx="79">
                  <c:v>83</c:v>
                </c:pt>
                <c:pt idx="80">
                  <c:v>1762</c:v>
                </c:pt>
                <c:pt idx="81">
                  <c:v>1063</c:v>
                </c:pt>
                <c:pt idx="82">
                  <c:v>2316</c:v>
                </c:pt>
                <c:pt idx="83">
                  <c:v>1250</c:v>
                </c:pt>
                <c:pt idx="84">
                  <c:v>1265</c:v>
                </c:pt>
                <c:pt idx="85">
                  <c:v>1736</c:v>
                </c:pt>
                <c:pt idx="86">
                  <c:v>2586</c:v>
                </c:pt>
                <c:pt idx="87">
                  <c:v>1243</c:v>
                </c:pt>
                <c:pt idx="88">
                  <c:v>1451</c:v>
                </c:pt>
                <c:pt idx="89">
                  <c:v>1179</c:v>
                </c:pt>
                <c:pt idx="90">
                  <c:v>2285</c:v>
                </c:pt>
                <c:pt idx="91">
                  <c:v>1678</c:v>
                </c:pt>
                <c:pt idx="92">
                  <c:v>2025</c:v>
                </c:pt>
                <c:pt idx="93">
                  <c:v>0</c:v>
                </c:pt>
                <c:pt idx="94">
                  <c:v>2430</c:v>
                </c:pt>
                <c:pt idx="95">
                  <c:v>2209</c:v>
                </c:pt>
                <c:pt idx="96">
                  <c:v>2330</c:v>
                </c:pt>
                <c:pt idx="97">
                  <c:v>2013</c:v>
                </c:pt>
                <c:pt idx="98">
                  <c:v>2023</c:v>
                </c:pt>
                <c:pt idx="99">
                  <c:v>2032</c:v>
                </c:pt>
                <c:pt idx="100">
                  <c:v>1759</c:v>
                </c:pt>
                <c:pt idx="101">
                  <c:v>2293</c:v>
                </c:pt>
                <c:pt idx="102">
                  <c:v>2176</c:v>
                </c:pt>
                <c:pt idx="103">
                  <c:v>1998</c:v>
                </c:pt>
                <c:pt idx="104">
                  <c:v>1307</c:v>
                </c:pt>
                <c:pt idx="105">
                  <c:v>1453</c:v>
                </c:pt>
                <c:pt idx="106">
                  <c:v>1542</c:v>
                </c:pt>
                <c:pt idx="107">
                  <c:v>1462</c:v>
                </c:pt>
                <c:pt idx="108">
                  <c:v>1433</c:v>
                </c:pt>
                <c:pt idx="109">
                  <c:v>1850</c:v>
                </c:pt>
                <c:pt idx="110">
                  <c:v>2111</c:v>
                </c:pt>
                <c:pt idx="111">
                  <c:v>1035</c:v>
                </c:pt>
                <c:pt idx="112">
                  <c:v>1915</c:v>
                </c:pt>
                <c:pt idx="113">
                  <c:v>2290</c:v>
                </c:pt>
                <c:pt idx="114">
                  <c:v>2251</c:v>
                </c:pt>
                <c:pt idx="115">
                  <c:v>1800</c:v>
                </c:pt>
                <c:pt idx="116">
                  <c:v>2162</c:v>
                </c:pt>
                <c:pt idx="117">
                  <c:v>2058</c:v>
                </c:pt>
                <c:pt idx="118">
                  <c:v>2109</c:v>
                </c:pt>
                <c:pt idx="119">
                  <c:v>1251</c:v>
                </c:pt>
                <c:pt idx="120">
                  <c:v>1278</c:v>
                </c:pt>
                <c:pt idx="121">
                  <c:v>981</c:v>
                </c:pt>
                <c:pt idx="122">
                  <c:v>1911</c:v>
                </c:pt>
                <c:pt idx="123">
                  <c:v>2296</c:v>
                </c:pt>
                <c:pt idx="124">
                  <c:v>2186</c:v>
                </c:pt>
                <c:pt idx="125">
                  <c:v>2642</c:v>
                </c:pt>
                <c:pt idx="126">
                  <c:v>1775</c:v>
                </c:pt>
                <c:pt idx="127">
                  <c:v>1894</c:v>
                </c:pt>
                <c:pt idx="128">
                  <c:v>2070</c:v>
                </c:pt>
                <c:pt idx="129">
                  <c:v>2196</c:v>
                </c:pt>
                <c:pt idx="130">
                  <c:v>2551</c:v>
                </c:pt>
                <c:pt idx="131">
                  <c:v>2922</c:v>
                </c:pt>
                <c:pt idx="132">
                  <c:v>752</c:v>
                </c:pt>
                <c:pt idx="133">
                  <c:v>793</c:v>
                </c:pt>
                <c:pt idx="134">
                  <c:v>1731</c:v>
                </c:pt>
                <c:pt idx="135">
                  <c:v>1086</c:v>
                </c:pt>
                <c:pt idx="136">
                  <c:v>3022</c:v>
                </c:pt>
                <c:pt idx="137">
                  <c:v>2514</c:v>
                </c:pt>
                <c:pt idx="138">
                  <c:v>2306</c:v>
                </c:pt>
                <c:pt idx="139">
                  <c:v>2212</c:v>
                </c:pt>
                <c:pt idx="140">
                  <c:v>2419</c:v>
                </c:pt>
                <c:pt idx="141">
                  <c:v>2132</c:v>
                </c:pt>
                <c:pt idx="142">
                  <c:v>2359</c:v>
                </c:pt>
                <c:pt idx="143">
                  <c:v>2958</c:v>
                </c:pt>
                <c:pt idx="144">
                  <c:v>749</c:v>
                </c:pt>
                <c:pt idx="145">
                  <c:v>2663</c:v>
                </c:pt>
                <c:pt idx="146">
                  <c:v>1277</c:v>
                </c:pt>
                <c:pt idx="147">
                  <c:v>1094</c:v>
                </c:pt>
                <c:pt idx="148">
                  <c:v>1232</c:v>
                </c:pt>
                <c:pt idx="149">
                  <c:v>1023</c:v>
                </c:pt>
                <c:pt idx="150">
                  <c:v>1695</c:v>
                </c:pt>
                <c:pt idx="151">
                  <c:v>1677</c:v>
                </c:pt>
                <c:pt idx="152">
                  <c:v>2354</c:v>
                </c:pt>
                <c:pt idx="153">
                  <c:v>1806</c:v>
                </c:pt>
                <c:pt idx="154">
                  <c:v>1294</c:v>
                </c:pt>
                <c:pt idx="155">
                  <c:v>1658</c:v>
                </c:pt>
                <c:pt idx="156">
                  <c:v>1068</c:v>
                </c:pt>
              </c:numCache>
            </c:numRef>
          </c:bubbleSize>
          <c:bubble3D val="0"/>
          <c:extLst>
            <c:ext xmlns:c16="http://schemas.microsoft.com/office/drawing/2014/chart" uri="{C3380CC4-5D6E-409C-BE32-E72D297353CC}">
              <c16:uniqueId val="{00000005-0635-4CC9-A990-39CC245ADBA1}"/>
            </c:ext>
          </c:extLst>
        </c:ser>
        <c:ser>
          <c:idx val="0"/>
          <c:order val="7"/>
          <c:tx>
            <c:strRef>
              <c:f>'Мособлдума одномандатный №6'!$W$1</c:f>
              <c:strCache>
                <c:ptCount val="1"/>
                <c:pt idx="0">
                  <c:v>Недействительных</c:v>
                </c:pt>
              </c:strCache>
            </c:strRef>
          </c:tx>
          <c:spPr>
            <a:noFill/>
            <a:ln w="6350">
              <a:solidFill>
                <a:srgbClr val="000000"/>
              </a:solidFill>
            </a:ln>
          </c:spPr>
          <c:invertIfNegative val="0"/>
          <c:xVal>
            <c:numRef>
              <c:f>'Мособлдума одномандатный №6'!$O$2:$O$183</c:f>
              <c:numCache>
                <c:formatCode>0.0</c:formatCode>
                <c:ptCount val="157"/>
                <c:pt idx="0">
                  <c:v>65.116279069767444</c:v>
                </c:pt>
                <c:pt idx="1">
                  <c:v>53.515625</c:v>
                </c:pt>
                <c:pt idx="2">
                  <c:v>54.705586311021641</c:v>
                </c:pt>
                <c:pt idx="3">
                  <c:v>54.665409990574929</c:v>
                </c:pt>
                <c:pt idx="4">
                  <c:v>48.402304871660554</c:v>
                </c:pt>
                <c:pt idx="5">
                  <c:v>50.256673511293634</c:v>
                </c:pt>
                <c:pt idx="6">
                  <c:v>59.511698880976603</c:v>
                </c:pt>
                <c:pt idx="7">
                  <c:v>73.105413105413106</c:v>
                </c:pt>
                <c:pt idx="8">
                  <c:v>71.602532878714072</c:v>
                </c:pt>
                <c:pt idx="9">
                  <c:v>35.954101147471313</c:v>
                </c:pt>
                <c:pt idx="10">
                  <c:v>25.491949910554563</c:v>
                </c:pt>
                <c:pt idx="11">
                  <c:v>72.551252847380411</c:v>
                </c:pt>
                <c:pt idx="12">
                  <c:v>50.85662759242561</c:v>
                </c:pt>
                <c:pt idx="13">
                  <c:v>34.612105711849956</c:v>
                </c:pt>
                <c:pt idx="14">
                  <c:v>46.317512274959086</c:v>
                </c:pt>
                <c:pt idx="15">
                  <c:v>29.254783484390735</c:v>
                </c:pt>
                <c:pt idx="16">
                  <c:v>42.440318302387269</c:v>
                </c:pt>
                <c:pt idx="17">
                  <c:v>30.929487179487179</c:v>
                </c:pt>
                <c:pt idx="18">
                  <c:v>48.484848484848484</c:v>
                </c:pt>
                <c:pt idx="19">
                  <c:v>35.881261595547308</c:v>
                </c:pt>
                <c:pt idx="20">
                  <c:v>24.111111111111111</c:v>
                </c:pt>
                <c:pt idx="21">
                  <c:v>46.110056925996204</c:v>
                </c:pt>
                <c:pt idx="22">
                  <c:v>30.474040632054177</c:v>
                </c:pt>
                <c:pt idx="23">
                  <c:v>36.268939393939391</c:v>
                </c:pt>
                <c:pt idx="24">
                  <c:v>32.671957671957671</c:v>
                </c:pt>
                <c:pt idx="25">
                  <c:v>37.642045454545453</c:v>
                </c:pt>
                <c:pt idx="26">
                  <c:v>60.449786739046139</c:v>
                </c:pt>
                <c:pt idx="27">
                  <c:v>80.650994575045203</c:v>
                </c:pt>
                <c:pt idx="28">
                  <c:v>37.082691319979453</c:v>
                </c:pt>
                <c:pt idx="29">
                  <c:v>38.739789964994166</c:v>
                </c:pt>
                <c:pt idx="30">
                  <c:v>39.518413597733712</c:v>
                </c:pt>
                <c:pt idx="31">
                  <c:v>34.831460674157306</c:v>
                </c:pt>
                <c:pt idx="32">
                  <c:v>30.223880597014926</c:v>
                </c:pt>
                <c:pt idx="33">
                  <c:v>33.638968481375358</c:v>
                </c:pt>
                <c:pt idx="34">
                  <c:v>33.585684790089473</c:v>
                </c:pt>
                <c:pt idx="35">
                  <c:v>42.446524064171122</c:v>
                </c:pt>
                <c:pt idx="36">
                  <c:v>34.732109404271263</c:v>
                </c:pt>
                <c:pt idx="37">
                  <c:v>27.295462665237586</c:v>
                </c:pt>
                <c:pt idx="38">
                  <c:v>38.404088050314463</c:v>
                </c:pt>
                <c:pt idx="39">
                  <c:v>36.167664670658681</c:v>
                </c:pt>
                <c:pt idx="40">
                  <c:v>43.786356425171867</c:v>
                </c:pt>
                <c:pt idx="41">
                  <c:v>26.260080645161292</c:v>
                </c:pt>
                <c:pt idx="42">
                  <c:v>26.273885350318473</c:v>
                </c:pt>
                <c:pt idx="43">
                  <c:v>29.20353982300885</c:v>
                </c:pt>
                <c:pt idx="44">
                  <c:v>56.201248049922</c:v>
                </c:pt>
                <c:pt idx="45">
                  <c:v>64.135021097046419</c:v>
                </c:pt>
                <c:pt idx="46">
                  <c:v>50.591715976331358</c:v>
                </c:pt>
                <c:pt idx="47">
                  <c:v>43.617630223239843</c:v>
                </c:pt>
                <c:pt idx="48">
                  <c:v>52.123754588358679</c:v>
                </c:pt>
                <c:pt idx="49">
                  <c:v>37.353433835845898</c:v>
                </c:pt>
                <c:pt idx="50">
                  <c:v>40.566873339238263</c:v>
                </c:pt>
                <c:pt idx="51">
                  <c:v>39.118825100133513</c:v>
                </c:pt>
                <c:pt idx="52">
                  <c:v>20.602474448628296</c:v>
                </c:pt>
                <c:pt idx="53">
                  <c:v>33.231939163498097</c:v>
                </c:pt>
                <c:pt idx="54">
                  <c:v>48.615384615384613</c:v>
                </c:pt>
                <c:pt idx="55">
                  <c:v>53.189401373895976</c:v>
                </c:pt>
                <c:pt idx="56">
                  <c:v>58.823529411764703</c:v>
                </c:pt>
                <c:pt idx="57">
                  <c:v>48.980933596318209</c:v>
                </c:pt>
                <c:pt idx="58">
                  <c:v>40.422535211267608</c:v>
                </c:pt>
                <c:pt idx="59">
                  <c:v>50.819672131147541</c:v>
                </c:pt>
                <c:pt idx="60">
                  <c:v>39.598662207357862</c:v>
                </c:pt>
                <c:pt idx="61">
                  <c:v>50.497787610619469</c:v>
                </c:pt>
                <c:pt idx="62">
                  <c:v>44.234592445328033</c:v>
                </c:pt>
                <c:pt idx="63">
                  <c:v>40.035693039857229</c:v>
                </c:pt>
                <c:pt idx="64">
                  <c:v>38.27893175074184</c:v>
                </c:pt>
                <c:pt idx="65">
                  <c:v>43.427076520601702</c:v>
                </c:pt>
                <c:pt idx="66">
                  <c:v>35.166666666666664</c:v>
                </c:pt>
                <c:pt idx="67">
                  <c:v>36.234177215189874</c:v>
                </c:pt>
                <c:pt idx="68">
                  <c:v>43.453897096281203</c:v>
                </c:pt>
                <c:pt idx="69">
                  <c:v>48.370136698212406</c:v>
                </c:pt>
                <c:pt idx="70">
                  <c:v>50.819672131147541</c:v>
                </c:pt>
                <c:pt idx="71">
                  <c:v>53.723404255319146</c:v>
                </c:pt>
                <c:pt idx="72">
                  <c:v>47.549224968579807</c:v>
                </c:pt>
                <c:pt idx="73">
                  <c:v>52.247557003257327</c:v>
                </c:pt>
                <c:pt idx="74">
                  <c:v>31.077504725897921</c:v>
                </c:pt>
                <c:pt idx="75">
                  <c:v>33.969652471855113</c:v>
                </c:pt>
                <c:pt idx="76">
                  <c:v>52.412060301507537</c:v>
                </c:pt>
                <c:pt idx="77">
                  <c:v>54.251012145748987</c:v>
                </c:pt>
                <c:pt idx="78">
                  <c:v>100</c:v>
                </c:pt>
                <c:pt idx="79">
                  <c:v>67.46987951807229</c:v>
                </c:pt>
                <c:pt idx="80">
                  <c:v>44.665153234960272</c:v>
                </c:pt>
                <c:pt idx="81">
                  <c:v>34.619002822201317</c:v>
                </c:pt>
                <c:pt idx="82">
                  <c:v>35.362694300518136</c:v>
                </c:pt>
                <c:pt idx="83">
                  <c:v>39.04</c:v>
                </c:pt>
                <c:pt idx="84">
                  <c:v>35.573122529644266</c:v>
                </c:pt>
                <c:pt idx="85">
                  <c:v>43.721198156682028</c:v>
                </c:pt>
                <c:pt idx="86">
                  <c:v>38.940448569218873</c:v>
                </c:pt>
                <c:pt idx="87">
                  <c:v>38.696701528559935</c:v>
                </c:pt>
                <c:pt idx="88">
                  <c:v>40.17918676774638</c:v>
                </c:pt>
                <c:pt idx="89">
                  <c:v>36.810856658184903</c:v>
                </c:pt>
                <c:pt idx="90">
                  <c:v>34.310722100656456</c:v>
                </c:pt>
                <c:pt idx="91">
                  <c:v>44.636471990464841</c:v>
                </c:pt>
                <c:pt idx="92">
                  <c:v>34.172839506172842</c:v>
                </c:pt>
                <c:pt idx="93">
                  <c:v>0</c:v>
                </c:pt>
                <c:pt idx="94">
                  <c:v>38.10699588477366</c:v>
                </c:pt>
                <c:pt idx="95">
                  <c:v>30.737890448166592</c:v>
                </c:pt>
                <c:pt idx="96">
                  <c:v>52.017167381974247</c:v>
                </c:pt>
                <c:pt idx="97">
                  <c:v>34.624937903626432</c:v>
                </c:pt>
                <c:pt idx="98">
                  <c:v>35.096391497775578</c:v>
                </c:pt>
                <c:pt idx="99">
                  <c:v>42.716535433070867</c:v>
                </c:pt>
                <c:pt idx="100">
                  <c:v>39.681637293916999</c:v>
                </c:pt>
                <c:pt idx="101">
                  <c:v>35.935455734845178</c:v>
                </c:pt>
                <c:pt idx="102">
                  <c:v>33.088235294117645</c:v>
                </c:pt>
                <c:pt idx="103">
                  <c:v>35.335335335335337</c:v>
                </c:pt>
                <c:pt idx="104">
                  <c:v>41.009946442234124</c:v>
                </c:pt>
                <c:pt idx="105">
                  <c:v>70.199587061252586</c:v>
                </c:pt>
                <c:pt idx="106">
                  <c:v>31.322957198443579</c:v>
                </c:pt>
                <c:pt idx="107">
                  <c:v>33.652530779753761</c:v>
                </c:pt>
                <c:pt idx="108">
                  <c:v>33.426378227494766</c:v>
                </c:pt>
                <c:pt idx="109">
                  <c:v>28.27027027027027</c:v>
                </c:pt>
                <c:pt idx="110">
                  <c:v>41.449549976314543</c:v>
                </c:pt>
                <c:pt idx="111">
                  <c:v>54.589371980676326</c:v>
                </c:pt>
                <c:pt idx="112">
                  <c:v>50.391644908616186</c:v>
                </c:pt>
                <c:pt idx="113">
                  <c:v>34.235807860262007</c:v>
                </c:pt>
                <c:pt idx="114">
                  <c:v>32.918702798756108</c:v>
                </c:pt>
                <c:pt idx="115">
                  <c:v>69.944444444444443</c:v>
                </c:pt>
                <c:pt idx="116">
                  <c:v>31.498612395929694</c:v>
                </c:pt>
                <c:pt idx="117">
                  <c:v>39.067055393586003</c:v>
                </c:pt>
                <c:pt idx="118">
                  <c:v>35.846372688477949</c:v>
                </c:pt>
                <c:pt idx="119">
                  <c:v>29.496402877697843</c:v>
                </c:pt>
                <c:pt idx="120">
                  <c:v>36.15023474178404</c:v>
                </c:pt>
                <c:pt idx="121">
                  <c:v>32.619775739041792</c:v>
                </c:pt>
                <c:pt idx="122">
                  <c:v>32.914704343275773</c:v>
                </c:pt>
                <c:pt idx="123">
                  <c:v>36.454703832752614</c:v>
                </c:pt>
                <c:pt idx="124">
                  <c:v>38.655077767612077</c:v>
                </c:pt>
                <c:pt idx="125">
                  <c:v>26.343679031037095</c:v>
                </c:pt>
                <c:pt idx="126">
                  <c:v>27.943661971830984</c:v>
                </c:pt>
                <c:pt idx="127">
                  <c:v>30.517423442449843</c:v>
                </c:pt>
                <c:pt idx="128">
                  <c:v>24.2512077294686</c:v>
                </c:pt>
                <c:pt idx="129">
                  <c:v>25.774134790528233</c:v>
                </c:pt>
                <c:pt idx="130">
                  <c:v>21.677773422187379</c:v>
                </c:pt>
                <c:pt idx="131">
                  <c:v>30.321697467488022</c:v>
                </c:pt>
                <c:pt idx="132">
                  <c:v>53.324468085106382</c:v>
                </c:pt>
                <c:pt idx="133">
                  <c:v>50.189155107187894</c:v>
                </c:pt>
                <c:pt idx="134">
                  <c:v>31.195840554592721</c:v>
                </c:pt>
                <c:pt idx="135">
                  <c:v>44.290976058931861</c:v>
                </c:pt>
                <c:pt idx="136">
                  <c:v>25.843812045003308</c:v>
                </c:pt>
                <c:pt idx="137">
                  <c:v>21.28082736674622</c:v>
                </c:pt>
                <c:pt idx="138">
                  <c:v>25.108412836079793</c:v>
                </c:pt>
                <c:pt idx="139">
                  <c:v>25.090415913200722</c:v>
                </c:pt>
                <c:pt idx="140">
                  <c:v>25.754443985117817</c:v>
                </c:pt>
                <c:pt idx="141">
                  <c:v>23.076923076923077</c:v>
                </c:pt>
                <c:pt idx="142">
                  <c:v>21.449766850360323</c:v>
                </c:pt>
                <c:pt idx="143">
                  <c:v>24.273157538877619</c:v>
                </c:pt>
                <c:pt idx="144">
                  <c:v>16.688918558077436</c:v>
                </c:pt>
                <c:pt idx="145">
                  <c:v>20.277882087870822</c:v>
                </c:pt>
                <c:pt idx="146">
                  <c:v>40.563821456538761</c:v>
                </c:pt>
                <c:pt idx="147">
                  <c:v>33.180987202925046</c:v>
                </c:pt>
                <c:pt idx="148">
                  <c:v>30.681818181818183</c:v>
                </c:pt>
                <c:pt idx="149">
                  <c:v>35.09286412512219</c:v>
                </c:pt>
                <c:pt idx="150">
                  <c:v>36.991150442477874</c:v>
                </c:pt>
                <c:pt idx="151">
                  <c:v>47.942754919499109</c:v>
                </c:pt>
                <c:pt idx="152">
                  <c:v>62.192013593882756</c:v>
                </c:pt>
                <c:pt idx="153">
                  <c:v>31.339977851605759</c:v>
                </c:pt>
                <c:pt idx="154">
                  <c:v>40.958268933539415</c:v>
                </c:pt>
                <c:pt idx="155">
                  <c:v>41.6767189384801</c:v>
                </c:pt>
                <c:pt idx="156">
                  <c:v>23.50187265917603</c:v>
                </c:pt>
              </c:numCache>
            </c:numRef>
          </c:xVal>
          <c:yVal>
            <c:numRef>
              <c:f>'Мособлдума одномандатный №6'!$W$2:$W$183</c:f>
              <c:numCache>
                <c:formatCode>0.0</c:formatCode>
                <c:ptCount val="157"/>
                <c:pt idx="0">
                  <c:v>2.6315789473684212</c:v>
                </c:pt>
                <c:pt idx="1">
                  <c:v>3.761755485893417</c:v>
                </c:pt>
                <c:pt idx="2">
                  <c:v>2.6777469990766392</c:v>
                </c:pt>
                <c:pt idx="3">
                  <c:v>2.5951557093425603</c:v>
                </c:pt>
                <c:pt idx="4">
                  <c:v>3.7239868565169769</c:v>
                </c:pt>
                <c:pt idx="5">
                  <c:v>1.8386108273748722</c:v>
                </c:pt>
                <c:pt idx="6">
                  <c:v>12.222222222222221</c:v>
                </c:pt>
                <c:pt idx="7">
                  <c:v>1.7214397496087637</c:v>
                </c:pt>
                <c:pt idx="8">
                  <c:v>2.2448979591836733</c:v>
                </c:pt>
                <c:pt idx="9">
                  <c:v>7.9761904761904763</c:v>
                </c:pt>
                <c:pt idx="10">
                  <c:v>6.666666666666667</c:v>
                </c:pt>
                <c:pt idx="11">
                  <c:v>1.8838304552590266</c:v>
                </c:pt>
                <c:pt idx="12">
                  <c:v>3.1914893617021276</c:v>
                </c:pt>
                <c:pt idx="13">
                  <c:v>3.8177339901477834</c:v>
                </c:pt>
                <c:pt idx="14">
                  <c:v>5.3003533568904597</c:v>
                </c:pt>
                <c:pt idx="15">
                  <c:v>6.8846815834767643</c:v>
                </c:pt>
                <c:pt idx="16">
                  <c:v>3.125</c:v>
                </c:pt>
                <c:pt idx="17">
                  <c:v>5</c:v>
                </c:pt>
                <c:pt idx="18">
                  <c:v>8.5336538461538467</c:v>
                </c:pt>
                <c:pt idx="19">
                  <c:v>5.394190871369295</c:v>
                </c:pt>
                <c:pt idx="20">
                  <c:v>6.2211981566820276</c:v>
                </c:pt>
                <c:pt idx="21">
                  <c:v>3.9094650205761319</c:v>
                </c:pt>
                <c:pt idx="22">
                  <c:v>2.5222551928783381</c:v>
                </c:pt>
                <c:pt idx="23">
                  <c:v>5.6135770234986948</c:v>
                </c:pt>
                <c:pt idx="24">
                  <c:v>6.0171919770773643</c:v>
                </c:pt>
                <c:pt idx="25">
                  <c:v>6.9182389937106921</c:v>
                </c:pt>
                <c:pt idx="26">
                  <c:v>3.4637588197562539</c:v>
                </c:pt>
                <c:pt idx="27">
                  <c:v>0</c:v>
                </c:pt>
                <c:pt idx="28">
                  <c:v>5.4016620498614962</c:v>
                </c:pt>
                <c:pt idx="29">
                  <c:v>9.6385542168674707</c:v>
                </c:pt>
                <c:pt idx="30">
                  <c:v>5.5555555555555554</c:v>
                </c:pt>
                <c:pt idx="31">
                  <c:v>11.598302687411598</c:v>
                </c:pt>
                <c:pt idx="32">
                  <c:v>16.666666666666668</c:v>
                </c:pt>
                <c:pt idx="33">
                  <c:v>6.3139931740614337</c:v>
                </c:pt>
                <c:pt idx="34">
                  <c:v>4.3032786885245899</c:v>
                </c:pt>
                <c:pt idx="35">
                  <c:v>4.0944881889763778</c:v>
                </c:pt>
                <c:pt idx="36">
                  <c:v>6.2567421790722761</c:v>
                </c:pt>
                <c:pt idx="37">
                  <c:v>4.842931937172775</c:v>
                </c:pt>
                <c:pt idx="38">
                  <c:v>9.7236438075742075</c:v>
                </c:pt>
                <c:pt idx="39">
                  <c:v>4.1390728476821188</c:v>
                </c:pt>
                <c:pt idx="40">
                  <c:v>2.7777777777777777</c:v>
                </c:pt>
                <c:pt idx="41">
                  <c:v>12.476007677543187</c:v>
                </c:pt>
                <c:pt idx="42">
                  <c:v>4.8484848484848486</c:v>
                </c:pt>
                <c:pt idx="43">
                  <c:v>10.256410256410257</c:v>
                </c:pt>
                <c:pt idx="44">
                  <c:v>5.2741151977793201</c:v>
                </c:pt>
                <c:pt idx="45">
                  <c:v>5.2631578947368425</c:v>
                </c:pt>
                <c:pt idx="46">
                  <c:v>2.9239766081871346</c:v>
                </c:pt>
                <c:pt idx="47">
                  <c:v>9.7112860892388451</c:v>
                </c:pt>
                <c:pt idx="48">
                  <c:v>3.5211267605633805</c:v>
                </c:pt>
                <c:pt idx="49">
                  <c:v>9.0692124105011942</c:v>
                </c:pt>
                <c:pt idx="50">
                  <c:v>7.0021881838074398</c:v>
                </c:pt>
                <c:pt idx="51">
                  <c:v>9.6322241681260952</c:v>
                </c:pt>
                <c:pt idx="52">
                  <c:v>7.8328981723237598</c:v>
                </c:pt>
                <c:pt idx="53">
                  <c:v>4.3577981651376145</c:v>
                </c:pt>
                <c:pt idx="54">
                  <c:v>4.4303797468354427</c:v>
                </c:pt>
                <c:pt idx="55">
                  <c:v>5.719557195571956</c:v>
                </c:pt>
                <c:pt idx="56">
                  <c:v>4.0716612377850163</c:v>
                </c:pt>
                <c:pt idx="57">
                  <c:v>5.5033557046979862</c:v>
                </c:pt>
                <c:pt idx="58">
                  <c:v>4.1958041958041958</c:v>
                </c:pt>
                <c:pt idx="59">
                  <c:v>6.580645161290323</c:v>
                </c:pt>
                <c:pt idx="60">
                  <c:v>7.2635135135135132</c:v>
                </c:pt>
                <c:pt idx="61">
                  <c:v>6.1403508771929829</c:v>
                </c:pt>
                <c:pt idx="62">
                  <c:v>8.6206896551724146</c:v>
                </c:pt>
                <c:pt idx="63">
                  <c:v>5.0822122571001493</c:v>
                </c:pt>
                <c:pt idx="64">
                  <c:v>4.1860465116279073</c:v>
                </c:pt>
                <c:pt idx="65">
                  <c:v>7.0783132530120483</c:v>
                </c:pt>
                <c:pt idx="66">
                  <c:v>3.9494470774091628</c:v>
                </c:pt>
                <c:pt idx="67">
                  <c:v>7.981220657276995</c:v>
                </c:pt>
                <c:pt idx="68">
                  <c:v>4.4548651817116065</c:v>
                </c:pt>
                <c:pt idx="69">
                  <c:v>4.1304347826086953</c:v>
                </c:pt>
                <c:pt idx="70">
                  <c:v>7.2879330943847069</c:v>
                </c:pt>
                <c:pt idx="71">
                  <c:v>2.8288543140028288</c:v>
                </c:pt>
                <c:pt idx="72">
                  <c:v>18.678414096916299</c:v>
                </c:pt>
                <c:pt idx="73">
                  <c:v>3.3665835411471323</c:v>
                </c:pt>
                <c:pt idx="74">
                  <c:v>8.2725060827250605</c:v>
                </c:pt>
                <c:pt idx="75">
                  <c:v>6.772334293948127</c:v>
                </c:pt>
                <c:pt idx="76">
                  <c:v>0</c:v>
                </c:pt>
                <c:pt idx="77">
                  <c:v>7.0075757575757578</c:v>
                </c:pt>
                <c:pt idx="78">
                  <c:v>0</c:v>
                </c:pt>
                <c:pt idx="79">
                  <c:v>3.5714285714285716</c:v>
                </c:pt>
                <c:pt idx="80">
                  <c:v>5.9720457433290974</c:v>
                </c:pt>
                <c:pt idx="81">
                  <c:v>6.25</c:v>
                </c:pt>
                <c:pt idx="82">
                  <c:v>3.1746031746031744</c:v>
                </c:pt>
                <c:pt idx="83">
                  <c:v>4.9382716049382713</c:v>
                </c:pt>
                <c:pt idx="84">
                  <c:v>4</c:v>
                </c:pt>
                <c:pt idx="85">
                  <c:v>4.0983606557377046</c:v>
                </c:pt>
                <c:pt idx="86">
                  <c:v>3.4446764091858038</c:v>
                </c:pt>
                <c:pt idx="87">
                  <c:v>5.882352941176471</c:v>
                </c:pt>
                <c:pt idx="88">
                  <c:v>2.5728987993138936</c:v>
                </c:pt>
                <c:pt idx="89">
                  <c:v>6.6820276497695854</c:v>
                </c:pt>
                <c:pt idx="90">
                  <c:v>4.591836734693878</c:v>
                </c:pt>
                <c:pt idx="91">
                  <c:v>5.4091539528432735</c:v>
                </c:pt>
                <c:pt idx="92">
                  <c:v>5.4913294797687859</c:v>
                </c:pt>
                <c:pt idx="93">
                  <c:v>0</c:v>
                </c:pt>
                <c:pt idx="94">
                  <c:v>8.8648648648648649</c:v>
                </c:pt>
                <c:pt idx="95">
                  <c:v>4.5655375552282766</c:v>
                </c:pt>
                <c:pt idx="96">
                  <c:v>4.2904290429042904</c:v>
                </c:pt>
                <c:pt idx="97">
                  <c:v>4.2042042042042045</c:v>
                </c:pt>
                <c:pt idx="98">
                  <c:v>6.25</c:v>
                </c:pt>
                <c:pt idx="99">
                  <c:v>9.8609355246523389</c:v>
                </c:pt>
                <c:pt idx="100">
                  <c:v>4.8850574712643677</c:v>
                </c:pt>
                <c:pt idx="101">
                  <c:v>4.0048543689320386</c:v>
                </c:pt>
                <c:pt idx="102">
                  <c:v>8.4722222222222214</c:v>
                </c:pt>
                <c:pt idx="103">
                  <c:v>6.9405099150141645</c:v>
                </c:pt>
                <c:pt idx="104">
                  <c:v>5.41044776119403</c:v>
                </c:pt>
                <c:pt idx="105">
                  <c:v>6.8292682926829267</c:v>
                </c:pt>
                <c:pt idx="106">
                  <c:v>6.004140786749482</c:v>
                </c:pt>
                <c:pt idx="107">
                  <c:v>4.4715447154471546</c:v>
                </c:pt>
                <c:pt idx="108">
                  <c:v>3.9665970772442587</c:v>
                </c:pt>
                <c:pt idx="109">
                  <c:v>6.3097514340344167</c:v>
                </c:pt>
                <c:pt idx="110">
                  <c:v>4.9142857142857146</c:v>
                </c:pt>
                <c:pt idx="111">
                  <c:v>3.3628318584070795</c:v>
                </c:pt>
                <c:pt idx="112">
                  <c:v>1.4537902388369679</c:v>
                </c:pt>
                <c:pt idx="113">
                  <c:v>7.782101167315175</c:v>
                </c:pt>
                <c:pt idx="114">
                  <c:v>5.2631578947368425</c:v>
                </c:pt>
                <c:pt idx="115">
                  <c:v>13.264495631453535</c:v>
                </c:pt>
                <c:pt idx="116">
                  <c:v>7.3421439060205582</c:v>
                </c:pt>
                <c:pt idx="117">
                  <c:v>5.5128205128205128</c:v>
                </c:pt>
                <c:pt idx="118">
                  <c:v>5.8906030855539973</c:v>
                </c:pt>
                <c:pt idx="119">
                  <c:v>6.25</c:v>
                </c:pt>
                <c:pt idx="120">
                  <c:v>4.9783549783549788</c:v>
                </c:pt>
                <c:pt idx="121">
                  <c:v>35.3125</c:v>
                </c:pt>
                <c:pt idx="122">
                  <c:v>3.9745627980922098</c:v>
                </c:pt>
                <c:pt idx="123">
                  <c:v>4.447115384615385</c:v>
                </c:pt>
                <c:pt idx="124">
                  <c:v>4.6594982078853047</c:v>
                </c:pt>
                <c:pt idx="125">
                  <c:v>2.8735632183908044</c:v>
                </c:pt>
                <c:pt idx="126">
                  <c:v>3.629032258064516</c:v>
                </c:pt>
                <c:pt idx="127">
                  <c:v>3.8062283737024223</c:v>
                </c:pt>
                <c:pt idx="128">
                  <c:v>5.040322580645161</c:v>
                </c:pt>
                <c:pt idx="129">
                  <c:v>4.5936395759717312</c:v>
                </c:pt>
                <c:pt idx="130">
                  <c:v>3.9783001808318263</c:v>
                </c:pt>
                <c:pt idx="131">
                  <c:v>40.293453724604966</c:v>
                </c:pt>
                <c:pt idx="132">
                  <c:v>2.7777777777777777</c:v>
                </c:pt>
                <c:pt idx="133">
                  <c:v>5.7220708446866482</c:v>
                </c:pt>
                <c:pt idx="134">
                  <c:v>5.6285178236397746</c:v>
                </c:pt>
                <c:pt idx="135">
                  <c:v>2.2916666666666665</c:v>
                </c:pt>
                <c:pt idx="136">
                  <c:v>3.5897435897435899</c:v>
                </c:pt>
                <c:pt idx="137">
                  <c:v>2.2429906542056073</c:v>
                </c:pt>
                <c:pt idx="138">
                  <c:v>5.5267702936096716</c:v>
                </c:pt>
                <c:pt idx="139">
                  <c:v>3.4482758620689653</c:v>
                </c:pt>
                <c:pt idx="140">
                  <c:v>6.4205457463884432</c:v>
                </c:pt>
                <c:pt idx="141">
                  <c:v>5.4989816700610996</c:v>
                </c:pt>
                <c:pt idx="142">
                  <c:v>3.5785288270377733</c:v>
                </c:pt>
                <c:pt idx="143">
                  <c:v>8.2172701949860727</c:v>
                </c:pt>
                <c:pt idx="144">
                  <c:v>6.7226890756302522</c:v>
                </c:pt>
                <c:pt idx="145">
                  <c:v>5.3703703703703702</c:v>
                </c:pt>
                <c:pt idx="146">
                  <c:v>5.2123552123552122</c:v>
                </c:pt>
                <c:pt idx="147">
                  <c:v>3.3057851239669422</c:v>
                </c:pt>
                <c:pt idx="148">
                  <c:v>7.9365079365079367</c:v>
                </c:pt>
                <c:pt idx="149">
                  <c:v>4.7353760445682456</c:v>
                </c:pt>
                <c:pt idx="150">
                  <c:v>6.7857142857142856</c:v>
                </c:pt>
                <c:pt idx="151">
                  <c:v>2.3661270236612704</c:v>
                </c:pt>
                <c:pt idx="152">
                  <c:v>0.68306010928961747</c:v>
                </c:pt>
                <c:pt idx="153">
                  <c:v>3.3568904593639575</c:v>
                </c:pt>
                <c:pt idx="154">
                  <c:v>7.3584905660377355</c:v>
                </c:pt>
                <c:pt idx="155">
                  <c:v>5.6439942112879882</c:v>
                </c:pt>
                <c:pt idx="156">
                  <c:v>1.593625498007968</c:v>
                </c:pt>
              </c:numCache>
            </c:numRef>
          </c:yVal>
          <c:bubbleSize>
            <c:numRef>
              <c:f>'Мособлдума одномандатный №6'!$J$2:$J$183</c:f>
              <c:numCache>
                <c:formatCode>General</c:formatCode>
                <c:ptCount val="157"/>
                <c:pt idx="0">
                  <c:v>2451</c:v>
                </c:pt>
                <c:pt idx="1">
                  <c:v>1792</c:v>
                </c:pt>
                <c:pt idx="2">
                  <c:v>1987</c:v>
                </c:pt>
                <c:pt idx="3">
                  <c:v>2122</c:v>
                </c:pt>
                <c:pt idx="4">
                  <c:v>1909</c:v>
                </c:pt>
                <c:pt idx="5">
                  <c:v>1948</c:v>
                </c:pt>
                <c:pt idx="6">
                  <c:v>1966</c:v>
                </c:pt>
                <c:pt idx="7">
                  <c:v>1755</c:v>
                </c:pt>
                <c:pt idx="8">
                  <c:v>2053</c:v>
                </c:pt>
                <c:pt idx="9">
                  <c:v>2353</c:v>
                </c:pt>
                <c:pt idx="10">
                  <c:v>2236</c:v>
                </c:pt>
                <c:pt idx="11">
                  <c:v>878</c:v>
                </c:pt>
                <c:pt idx="12">
                  <c:v>1109</c:v>
                </c:pt>
                <c:pt idx="13">
                  <c:v>2346</c:v>
                </c:pt>
                <c:pt idx="14">
                  <c:v>1222</c:v>
                </c:pt>
                <c:pt idx="15">
                  <c:v>1986</c:v>
                </c:pt>
                <c:pt idx="16">
                  <c:v>377</c:v>
                </c:pt>
                <c:pt idx="17">
                  <c:v>1248</c:v>
                </c:pt>
                <c:pt idx="18">
                  <c:v>1716</c:v>
                </c:pt>
                <c:pt idx="19">
                  <c:v>2695</c:v>
                </c:pt>
                <c:pt idx="20">
                  <c:v>1800</c:v>
                </c:pt>
                <c:pt idx="21">
                  <c:v>2108</c:v>
                </c:pt>
                <c:pt idx="22">
                  <c:v>2215</c:v>
                </c:pt>
                <c:pt idx="23">
                  <c:v>2112</c:v>
                </c:pt>
                <c:pt idx="24">
                  <c:v>2268</c:v>
                </c:pt>
                <c:pt idx="25">
                  <c:v>2112</c:v>
                </c:pt>
                <c:pt idx="26">
                  <c:v>2579</c:v>
                </c:pt>
                <c:pt idx="27">
                  <c:v>1659</c:v>
                </c:pt>
                <c:pt idx="28">
                  <c:v>1947</c:v>
                </c:pt>
                <c:pt idx="29">
                  <c:v>857</c:v>
                </c:pt>
                <c:pt idx="30">
                  <c:v>1412</c:v>
                </c:pt>
                <c:pt idx="31">
                  <c:v>2047</c:v>
                </c:pt>
                <c:pt idx="32">
                  <c:v>536</c:v>
                </c:pt>
                <c:pt idx="33">
                  <c:v>1745</c:v>
                </c:pt>
                <c:pt idx="34">
                  <c:v>1453</c:v>
                </c:pt>
                <c:pt idx="35">
                  <c:v>1496</c:v>
                </c:pt>
                <c:pt idx="36">
                  <c:v>2669</c:v>
                </c:pt>
                <c:pt idx="37">
                  <c:v>2799</c:v>
                </c:pt>
                <c:pt idx="38">
                  <c:v>2544</c:v>
                </c:pt>
                <c:pt idx="39">
                  <c:v>1670</c:v>
                </c:pt>
                <c:pt idx="40">
                  <c:v>1891</c:v>
                </c:pt>
                <c:pt idx="41">
                  <c:v>1984</c:v>
                </c:pt>
                <c:pt idx="42">
                  <c:v>628</c:v>
                </c:pt>
                <c:pt idx="43">
                  <c:v>1469</c:v>
                </c:pt>
                <c:pt idx="44">
                  <c:v>2564</c:v>
                </c:pt>
                <c:pt idx="45">
                  <c:v>711</c:v>
                </c:pt>
                <c:pt idx="46">
                  <c:v>676</c:v>
                </c:pt>
                <c:pt idx="47">
                  <c:v>1747</c:v>
                </c:pt>
                <c:pt idx="48">
                  <c:v>1907</c:v>
                </c:pt>
                <c:pt idx="49">
                  <c:v>1194</c:v>
                </c:pt>
                <c:pt idx="50">
                  <c:v>1129</c:v>
                </c:pt>
                <c:pt idx="51">
                  <c:v>1498</c:v>
                </c:pt>
                <c:pt idx="52">
                  <c:v>1859</c:v>
                </c:pt>
                <c:pt idx="53">
                  <c:v>1315</c:v>
                </c:pt>
                <c:pt idx="54">
                  <c:v>1300</c:v>
                </c:pt>
                <c:pt idx="55">
                  <c:v>2038</c:v>
                </c:pt>
                <c:pt idx="56">
                  <c:v>1190</c:v>
                </c:pt>
                <c:pt idx="57">
                  <c:v>1521</c:v>
                </c:pt>
                <c:pt idx="58">
                  <c:v>710</c:v>
                </c:pt>
                <c:pt idx="59">
                  <c:v>1525</c:v>
                </c:pt>
                <c:pt idx="60">
                  <c:v>1495</c:v>
                </c:pt>
                <c:pt idx="61">
                  <c:v>1808</c:v>
                </c:pt>
                <c:pt idx="62">
                  <c:v>2012</c:v>
                </c:pt>
                <c:pt idx="63">
                  <c:v>1681</c:v>
                </c:pt>
                <c:pt idx="64">
                  <c:v>1685</c:v>
                </c:pt>
                <c:pt idx="65">
                  <c:v>1529</c:v>
                </c:pt>
                <c:pt idx="66">
                  <c:v>1800</c:v>
                </c:pt>
                <c:pt idx="67">
                  <c:v>1896</c:v>
                </c:pt>
                <c:pt idx="68">
                  <c:v>1963</c:v>
                </c:pt>
                <c:pt idx="69">
                  <c:v>1902</c:v>
                </c:pt>
                <c:pt idx="70">
                  <c:v>1647</c:v>
                </c:pt>
                <c:pt idx="71">
                  <c:v>1316</c:v>
                </c:pt>
                <c:pt idx="72">
                  <c:v>2387</c:v>
                </c:pt>
                <c:pt idx="73">
                  <c:v>1535</c:v>
                </c:pt>
                <c:pt idx="74">
                  <c:v>2645</c:v>
                </c:pt>
                <c:pt idx="75">
                  <c:v>2043</c:v>
                </c:pt>
                <c:pt idx="76">
                  <c:v>1990</c:v>
                </c:pt>
                <c:pt idx="77">
                  <c:v>988</c:v>
                </c:pt>
                <c:pt idx="78">
                  <c:v>89</c:v>
                </c:pt>
                <c:pt idx="79">
                  <c:v>83</c:v>
                </c:pt>
                <c:pt idx="80">
                  <c:v>1762</c:v>
                </c:pt>
                <c:pt idx="81">
                  <c:v>1063</c:v>
                </c:pt>
                <c:pt idx="82">
                  <c:v>2316</c:v>
                </c:pt>
                <c:pt idx="83">
                  <c:v>1250</c:v>
                </c:pt>
                <c:pt idx="84">
                  <c:v>1265</c:v>
                </c:pt>
                <c:pt idx="85">
                  <c:v>1736</c:v>
                </c:pt>
                <c:pt idx="86">
                  <c:v>2586</c:v>
                </c:pt>
                <c:pt idx="87">
                  <c:v>1243</c:v>
                </c:pt>
                <c:pt idx="88">
                  <c:v>1451</c:v>
                </c:pt>
                <c:pt idx="89">
                  <c:v>1179</c:v>
                </c:pt>
                <c:pt idx="90">
                  <c:v>2285</c:v>
                </c:pt>
                <c:pt idx="91">
                  <c:v>1678</c:v>
                </c:pt>
                <c:pt idx="92">
                  <c:v>2025</c:v>
                </c:pt>
                <c:pt idx="93">
                  <c:v>0</c:v>
                </c:pt>
                <c:pt idx="94">
                  <c:v>2430</c:v>
                </c:pt>
                <c:pt idx="95">
                  <c:v>2209</c:v>
                </c:pt>
                <c:pt idx="96">
                  <c:v>2330</c:v>
                </c:pt>
                <c:pt idx="97">
                  <c:v>2013</c:v>
                </c:pt>
                <c:pt idx="98">
                  <c:v>2023</c:v>
                </c:pt>
                <c:pt idx="99">
                  <c:v>2032</c:v>
                </c:pt>
                <c:pt idx="100">
                  <c:v>1759</c:v>
                </c:pt>
                <c:pt idx="101">
                  <c:v>2293</c:v>
                </c:pt>
                <c:pt idx="102">
                  <c:v>2176</c:v>
                </c:pt>
                <c:pt idx="103">
                  <c:v>1998</c:v>
                </c:pt>
                <c:pt idx="104">
                  <c:v>1307</c:v>
                </c:pt>
                <c:pt idx="105">
                  <c:v>1453</c:v>
                </c:pt>
                <c:pt idx="106">
                  <c:v>1542</c:v>
                </c:pt>
                <c:pt idx="107">
                  <c:v>1462</c:v>
                </c:pt>
                <c:pt idx="108">
                  <c:v>1433</c:v>
                </c:pt>
                <c:pt idx="109">
                  <c:v>1850</c:v>
                </c:pt>
                <c:pt idx="110">
                  <c:v>2111</c:v>
                </c:pt>
                <c:pt idx="111">
                  <c:v>1035</c:v>
                </c:pt>
                <c:pt idx="112">
                  <c:v>1915</c:v>
                </c:pt>
                <c:pt idx="113">
                  <c:v>2290</c:v>
                </c:pt>
                <c:pt idx="114">
                  <c:v>2251</c:v>
                </c:pt>
                <c:pt idx="115">
                  <c:v>1800</c:v>
                </c:pt>
                <c:pt idx="116">
                  <c:v>2162</c:v>
                </c:pt>
                <c:pt idx="117">
                  <c:v>2058</c:v>
                </c:pt>
                <c:pt idx="118">
                  <c:v>2109</c:v>
                </c:pt>
                <c:pt idx="119">
                  <c:v>1251</c:v>
                </c:pt>
                <c:pt idx="120">
                  <c:v>1278</c:v>
                </c:pt>
                <c:pt idx="121">
                  <c:v>981</c:v>
                </c:pt>
                <c:pt idx="122">
                  <c:v>1911</c:v>
                </c:pt>
                <c:pt idx="123">
                  <c:v>2296</c:v>
                </c:pt>
                <c:pt idx="124">
                  <c:v>2186</c:v>
                </c:pt>
                <c:pt idx="125">
                  <c:v>2642</c:v>
                </c:pt>
                <c:pt idx="126">
                  <c:v>1775</c:v>
                </c:pt>
                <c:pt idx="127">
                  <c:v>1894</c:v>
                </c:pt>
                <c:pt idx="128">
                  <c:v>2070</c:v>
                </c:pt>
                <c:pt idx="129">
                  <c:v>2196</c:v>
                </c:pt>
                <c:pt idx="130">
                  <c:v>2551</c:v>
                </c:pt>
                <c:pt idx="131">
                  <c:v>2922</c:v>
                </c:pt>
                <c:pt idx="132">
                  <c:v>752</c:v>
                </c:pt>
                <c:pt idx="133">
                  <c:v>793</c:v>
                </c:pt>
                <c:pt idx="134">
                  <c:v>1731</c:v>
                </c:pt>
                <c:pt idx="135">
                  <c:v>1086</c:v>
                </c:pt>
                <c:pt idx="136">
                  <c:v>3022</c:v>
                </c:pt>
                <c:pt idx="137">
                  <c:v>2514</c:v>
                </c:pt>
                <c:pt idx="138">
                  <c:v>2306</c:v>
                </c:pt>
                <c:pt idx="139">
                  <c:v>2212</c:v>
                </c:pt>
                <c:pt idx="140">
                  <c:v>2419</c:v>
                </c:pt>
                <c:pt idx="141">
                  <c:v>2132</c:v>
                </c:pt>
                <c:pt idx="142">
                  <c:v>2359</c:v>
                </c:pt>
                <c:pt idx="143">
                  <c:v>2958</c:v>
                </c:pt>
                <c:pt idx="144">
                  <c:v>749</c:v>
                </c:pt>
                <c:pt idx="145">
                  <c:v>2663</c:v>
                </c:pt>
                <c:pt idx="146">
                  <c:v>1277</c:v>
                </c:pt>
                <c:pt idx="147">
                  <c:v>1094</c:v>
                </c:pt>
                <c:pt idx="148">
                  <c:v>1232</c:v>
                </c:pt>
                <c:pt idx="149">
                  <c:v>1023</c:v>
                </c:pt>
                <c:pt idx="150">
                  <c:v>1695</c:v>
                </c:pt>
                <c:pt idx="151">
                  <c:v>1677</c:v>
                </c:pt>
                <c:pt idx="152">
                  <c:v>2354</c:v>
                </c:pt>
                <c:pt idx="153">
                  <c:v>1806</c:v>
                </c:pt>
                <c:pt idx="154">
                  <c:v>1294</c:v>
                </c:pt>
                <c:pt idx="155">
                  <c:v>1658</c:v>
                </c:pt>
                <c:pt idx="156">
                  <c:v>1068</c:v>
                </c:pt>
              </c:numCache>
            </c:numRef>
          </c:bubbleSize>
          <c:bubble3D val="0"/>
          <c:extLst>
            <c:ext xmlns:c16="http://schemas.microsoft.com/office/drawing/2014/chart" uri="{C3380CC4-5D6E-409C-BE32-E72D297353CC}">
              <c16:uniqueId val="{00000000-586A-4E7D-A7F4-4180F8983B15}"/>
            </c:ext>
          </c:extLst>
        </c:ser>
        <c:ser>
          <c:idx val="1"/>
          <c:order val="8"/>
          <c:tx>
            <c:strRef>
              <c:f>'Мособлдума одномандатный №6'!$U$1</c:f>
              <c:strCache>
                <c:ptCount val="1"/>
                <c:pt idx="0">
                  <c:v>Надомка</c:v>
                </c:pt>
              </c:strCache>
            </c:strRef>
          </c:tx>
          <c:spPr>
            <a:noFill/>
            <a:ln w="6350">
              <a:solidFill>
                <a:srgbClr val="000000"/>
              </a:solidFill>
              <a:prstDash val="sysDot"/>
            </a:ln>
          </c:spPr>
          <c:invertIfNegative val="0"/>
          <c:xVal>
            <c:numRef>
              <c:f>'Мособлдума одномандатный №6'!$O$2:$O$183</c:f>
              <c:numCache>
                <c:formatCode>0.0</c:formatCode>
                <c:ptCount val="157"/>
                <c:pt idx="0">
                  <c:v>65.116279069767444</c:v>
                </c:pt>
                <c:pt idx="1">
                  <c:v>53.515625</c:v>
                </c:pt>
                <c:pt idx="2">
                  <c:v>54.705586311021641</c:v>
                </c:pt>
                <c:pt idx="3">
                  <c:v>54.665409990574929</c:v>
                </c:pt>
                <c:pt idx="4">
                  <c:v>48.402304871660554</c:v>
                </c:pt>
                <c:pt idx="5">
                  <c:v>50.256673511293634</c:v>
                </c:pt>
                <c:pt idx="6">
                  <c:v>59.511698880976603</c:v>
                </c:pt>
                <c:pt idx="7">
                  <c:v>73.105413105413106</c:v>
                </c:pt>
                <c:pt idx="8">
                  <c:v>71.602532878714072</c:v>
                </c:pt>
                <c:pt idx="9">
                  <c:v>35.954101147471313</c:v>
                </c:pt>
                <c:pt idx="10">
                  <c:v>25.491949910554563</c:v>
                </c:pt>
                <c:pt idx="11">
                  <c:v>72.551252847380411</c:v>
                </c:pt>
                <c:pt idx="12">
                  <c:v>50.85662759242561</c:v>
                </c:pt>
                <c:pt idx="13">
                  <c:v>34.612105711849956</c:v>
                </c:pt>
                <c:pt idx="14">
                  <c:v>46.317512274959086</c:v>
                </c:pt>
                <c:pt idx="15">
                  <c:v>29.254783484390735</c:v>
                </c:pt>
                <c:pt idx="16">
                  <c:v>42.440318302387269</c:v>
                </c:pt>
                <c:pt idx="17">
                  <c:v>30.929487179487179</c:v>
                </c:pt>
                <c:pt idx="18">
                  <c:v>48.484848484848484</c:v>
                </c:pt>
                <c:pt idx="19">
                  <c:v>35.881261595547308</c:v>
                </c:pt>
                <c:pt idx="20">
                  <c:v>24.111111111111111</c:v>
                </c:pt>
                <c:pt idx="21">
                  <c:v>46.110056925996204</c:v>
                </c:pt>
                <c:pt idx="22">
                  <c:v>30.474040632054177</c:v>
                </c:pt>
                <c:pt idx="23">
                  <c:v>36.268939393939391</c:v>
                </c:pt>
                <c:pt idx="24">
                  <c:v>32.671957671957671</c:v>
                </c:pt>
                <c:pt idx="25">
                  <c:v>37.642045454545453</c:v>
                </c:pt>
                <c:pt idx="26">
                  <c:v>60.449786739046139</c:v>
                </c:pt>
                <c:pt idx="27">
                  <c:v>80.650994575045203</c:v>
                </c:pt>
                <c:pt idx="28">
                  <c:v>37.082691319979453</c:v>
                </c:pt>
                <c:pt idx="29">
                  <c:v>38.739789964994166</c:v>
                </c:pt>
                <c:pt idx="30">
                  <c:v>39.518413597733712</c:v>
                </c:pt>
                <c:pt idx="31">
                  <c:v>34.831460674157306</c:v>
                </c:pt>
                <c:pt idx="32">
                  <c:v>30.223880597014926</c:v>
                </c:pt>
                <c:pt idx="33">
                  <c:v>33.638968481375358</c:v>
                </c:pt>
                <c:pt idx="34">
                  <c:v>33.585684790089473</c:v>
                </c:pt>
                <c:pt idx="35">
                  <c:v>42.446524064171122</c:v>
                </c:pt>
                <c:pt idx="36">
                  <c:v>34.732109404271263</c:v>
                </c:pt>
                <c:pt idx="37">
                  <c:v>27.295462665237586</c:v>
                </c:pt>
                <c:pt idx="38">
                  <c:v>38.404088050314463</c:v>
                </c:pt>
                <c:pt idx="39">
                  <c:v>36.167664670658681</c:v>
                </c:pt>
                <c:pt idx="40">
                  <c:v>43.786356425171867</c:v>
                </c:pt>
                <c:pt idx="41">
                  <c:v>26.260080645161292</c:v>
                </c:pt>
                <c:pt idx="42">
                  <c:v>26.273885350318473</c:v>
                </c:pt>
                <c:pt idx="43">
                  <c:v>29.20353982300885</c:v>
                </c:pt>
                <c:pt idx="44">
                  <c:v>56.201248049922</c:v>
                </c:pt>
                <c:pt idx="45">
                  <c:v>64.135021097046419</c:v>
                </c:pt>
                <c:pt idx="46">
                  <c:v>50.591715976331358</c:v>
                </c:pt>
                <c:pt idx="47">
                  <c:v>43.617630223239843</c:v>
                </c:pt>
                <c:pt idx="48">
                  <c:v>52.123754588358679</c:v>
                </c:pt>
                <c:pt idx="49">
                  <c:v>37.353433835845898</c:v>
                </c:pt>
                <c:pt idx="50">
                  <c:v>40.566873339238263</c:v>
                </c:pt>
                <c:pt idx="51">
                  <c:v>39.118825100133513</c:v>
                </c:pt>
                <c:pt idx="52">
                  <c:v>20.602474448628296</c:v>
                </c:pt>
                <c:pt idx="53">
                  <c:v>33.231939163498097</c:v>
                </c:pt>
                <c:pt idx="54">
                  <c:v>48.615384615384613</c:v>
                </c:pt>
                <c:pt idx="55">
                  <c:v>53.189401373895976</c:v>
                </c:pt>
                <c:pt idx="56">
                  <c:v>58.823529411764703</c:v>
                </c:pt>
                <c:pt idx="57">
                  <c:v>48.980933596318209</c:v>
                </c:pt>
                <c:pt idx="58">
                  <c:v>40.422535211267608</c:v>
                </c:pt>
                <c:pt idx="59">
                  <c:v>50.819672131147541</c:v>
                </c:pt>
                <c:pt idx="60">
                  <c:v>39.598662207357862</c:v>
                </c:pt>
                <c:pt idx="61">
                  <c:v>50.497787610619469</c:v>
                </c:pt>
                <c:pt idx="62">
                  <c:v>44.234592445328033</c:v>
                </c:pt>
                <c:pt idx="63">
                  <c:v>40.035693039857229</c:v>
                </c:pt>
                <c:pt idx="64">
                  <c:v>38.27893175074184</c:v>
                </c:pt>
                <c:pt idx="65">
                  <c:v>43.427076520601702</c:v>
                </c:pt>
                <c:pt idx="66">
                  <c:v>35.166666666666664</c:v>
                </c:pt>
                <c:pt idx="67">
                  <c:v>36.234177215189874</c:v>
                </c:pt>
                <c:pt idx="68">
                  <c:v>43.453897096281203</c:v>
                </c:pt>
                <c:pt idx="69">
                  <c:v>48.370136698212406</c:v>
                </c:pt>
                <c:pt idx="70">
                  <c:v>50.819672131147541</c:v>
                </c:pt>
                <c:pt idx="71">
                  <c:v>53.723404255319146</c:v>
                </c:pt>
                <c:pt idx="72">
                  <c:v>47.549224968579807</c:v>
                </c:pt>
                <c:pt idx="73">
                  <c:v>52.247557003257327</c:v>
                </c:pt>
                <c:pt idx="74">
                  <c:v>31.077504725897921</c:v>
                </c:pt>
                <c:pt idx="75">
                  <c:v>33.969652471855113</c:v>
                </c:pt>
                <c:pt idx="76">
                  <c:v>52.412060301507537</c:v>
                </c:pt>
                <c:pt idx="77">
                  <c:v>54.251012145748987</c:v>
                </c:pt>
                <c:pt idx="78">
                  <c:v>100</c:v>
                </c:pt>
                <c:pt idx="79">
                  <c:v>67.46987951807229</c:v>
                </c:pt>
                <c:pt idx="80">
                  <c:v>44.665153234960272</c:v>
                </c:pt>
                <c:pt idx="81">
                  <c:v>34.619002822201317</c:v>
                </c:pt>
                <c:pt idx="82">
                  <c:v>35.362694300518136</c:v>
                </c:pt>
                <c:pt idx="83">
                  <c:v>39.04</c:v>
                </c:pt>
                <c:pt idx="84">
                  <c:v>35.573122529644266</c:v>
                </c:pt>
                <c:pt idx="85">
                  <c:v>43.721198156682028</c:v>
                </c:pt>
                <c:pt idx="86">
                  <c:v>38.940448569218873</c:v>
                </c:pt>
                <c:pt idx="87">
                  <c:v>38.696701528559935</c:v>
                </c:pt>
                <c:pt idx="88">
                  <c:v>40.17918676774638</c:v>
                </c:pt>
                <c:pt idx="89">
                  <c:v>36.810856658184903</c:v>
                </c:pt>
                <c:pt idx="90">
                  <c:v>34.310722100656456</c:v>
                </c:pt>
                <c:pt idx="91">
                  <c:v>44.636471990464841</c:v>
                </c:pt>
                <c:pt idx="92">
                  <c:v>34.172839506172842</c:v>
                </c:pt>
                <c:pt idx="93">
                  <c:v>0</c:v>
                </c:pt>
                <c:pt idx="94">
                  <c:v>38.10699588477366</c:v>
                </c:pt>
                <c:pt idx="95">
                  <c:v>30.737890448166592</c:v>
                </c:pt>
                <c:pt idx="96">
                  <c:v>52.017167381974247</c:v>
                </c:pt>
                <c:pt idx="97">
                  <c:v>34.624937903626432</c:v>
                </c:pt>
                <c:pt idx="98">
                  <c:v>35.096391497775578</c:v>
                </c:pt>
                <c:pt idx="99">
                  <c:v>42.716535433070867</c:v>
                </c:pt>
                <c:pt idx="100">
                  <c:v>39.681637293916999</c:v>
                </c:pt>
                <c:pt idx="101">
                  <c:v>35.935455734845178</c:v>
                </c:pt>
                <c:pt idx="102">
                  <c:v>33.088235294117645</c:v>
                </c:pt>
                <c:pt idx="103">
                  <c:v>35.335335335335337</c:v>
                </c:pt>
                <c:pt idx="104">
                  <c:v>41.009946442234124</c:v>
                </c:pt>
                <c:pt idx="105">
                  <c:v>70.199587061252586</c:v>
                </c:pt>
                <c:pt idx="106">
                  <c:v>31.322957198443579</c:v>
                </c:pt>
                <c:pt idx="107">
                  <c:v>33.652530779753761</c:v>
                </c:pt>
                <c:pt idx="108">
                  <c:v>33.426378227494766</c:v>
                </c:pt>
                <c:pt idx="109">
                  <c:v>28.27027027027027</c:v>
                </c:pt>
                <c:pt idx="110">
                  <c:v>41.449549976314543</c:v>
                </c:pt>
                <c:pt idx="111">
                  <c:v>54.589371980676326</c:v>
                </c:pt>
                <c:pt idx="112">
                  <c:v>50.391644908616186</c:v>
                </c:pt>
                <c:pt idx="113">
                  <c:v>34.235807860262007</c:v>
                </c:pt>
                <c:pt idx="114">
                  <c:v>32.918702798756108</c:v>
                </c:pt>
                <c:pt idx="115">
                  <c:v>69.944444444444443</c:v>
                </c:pt>
                <c:pt idx="116">
                  <c:v>31.498612395929694</c:v>
                </c:pt>
                <c:pt idx="117">
                  <c:v>39.067055393586003</c:v>
                </c:pt>
                <c:pt idx="118">
                  <c:v>35.846372688477949</c:v>
                </c:pt>
                <c:pt idx="119">
                  <c:v>29.496402877697843</c:v>
                </c:pt>
                <c:pt idx="120">
                  <c:v>36.15023474178404</c:v>
                </c:pt>
                <c:pt idx="121">
                  <c:v>32.619775739041792</c:v>
                </c:pt>
                <c:pt idx="122">
                  <c:v>32.914704343275773</c:v>
                </c:pt>
                <c:pt idx="123">
                  <c:v>36.454703832752614</c:v>
                </c:pt>
                <c:pt idx="124">
                  <c:v>38.655077767612077</c:v>
                </c:pt>
                <c:pt idx="125">
                  <c:v>26.343679031037095</c:v>
                </c:pt>
                <c:pt idx="126">
                  <c:v>27.943661971830984</c:v>
                </c:pt>
                <c:pt idx="127">
                  <c:v>30.517423442449843</c:v>
                </c:pt>
                <c:pt idx="128">
                  <c:v>24.2512077294686</c:v>
                </c:pt>
                <c:pt idx="129">
                  <c:v>25.774134790528233</c:v>
                </c:pt>
                <c:pt idx="130">
                  <c:v>21.677773422187379</c:v>
                </c:pt>
                <c:pt idx="131">
                  <c:v>30.321697467488022</c:v>
                </c:pt>
                <c:pt idx="132">
                  <c:v>53.324468085106382</c:v>
                </c:pt>
                <c:pt idx="133">
                  <c:v>50.189155107187894</c:v>
                </c:pt>
                <c:pt idx="134">
                  <c:v>31.195840554592721</c:v>
                </c:pt>
                <c:pt idx="135">
                  <c:v>44.290976058931861</c:v>
                </c:pt>
                <c:pt idx="136">
                  <c:v>25.843812045003308</c:v>
                </c:pt>
                <c:pt idx="137">
                  <c:v>21.28082736674622</c:v>
                </c:pt>
                <c:pt idx="138">
                  <c:v>25.108412836079793</c:v>
                </c:pt>
                <c:pt idx="139">
                  <c:v>25.090415913200722</c:v>
                </c:pt>
                <c:pt idx="140">
                  <c:v>25.754443985117817</c:v>
                </c:pt>
                <c:pt idx="141">
                  <c:v>23.076923076923077</c:v>
                </c:pt>
                <c:pt idx="142">
                  <c:v>21.449766850360323</c:v>
                </c:pt>
                <c:pt idx="143">
                  <c:v>24.273157538877619</c:v>
                </c:pt>
                <c:pt idx="144">
                  <c:v>16.688918558077436</c:v>
                </c:pt>
                <c:pt idx="145">
                  <c:v>20.277882087870822</c:v>
                </c:pt>
                <c:pt idx="146">
                  <c:v>40.563821456538761</c:v>
                </c:pt>
                <c:pt idx="147">
                  <c:v>33.180987202925046</c:v>
                </c:pt>
                <c:pt idx="148">
                  <c:v>30.681818181818183</c:v>
                </c:pt>
                <c:pt idx="149">
                  <c:v>35.09286412512219</c:v>
                </c:pt>
                <c:pt idx="150">
                  <c:v>36.991150442477874</c:v>
                </c:pt>
                <c:pt idx="151">
                  <c:v>47.942754919499109</c:v>
                </c:pt>
                <c:pt idx="152">
                  <c:v>62.192013593882756</c:v>
                </c:pt>
                <c:pt idx="153">
                  <c:v>31.339977851605759</c:v>
                </c:pt>
                <c:pt idx="154">
                  <c:v>40.958268933539415</c:v>
                </c:pt>
                <c:pt idx="155">
                  <c:v>41.6767189384801</c:v>
                </c:pt>
                <c:pt idx="156">
                  <c:v>23.50187265917603</c:v>
                </c:pt>
              </c:numCache>
            </c:numRef>
          </c:xVal>
          <c:yVal>
            <c:numRef>
              <c:f>'Мособлдума одномандатный №6'!$U$2:$U$183</c:f>
              <c:numCache>
                <c:formatCode>0.0</c:formatCode>
                <c:ptCount val="157"/>
                <c:pt idx="0">
                  <c:v>1.1904761904761905</c:v>
                </c:pt>
                <c:pt idx="1">
                  <c:v>6.1650992685475448</c:v>
                </c:pt>
                <c:pt idx="2">
                  <c:v>6.9252077562326866</c:v>
                </c:pt>
                <c:pt idx="3">
                  <c:v>1.9896193771626298</c:v>
                </c:pt>
                <c:pt idx="4">
                  <c:v>10.514786418400876</c:v>
                </c:pt>
                <c:pt idx="5">
                  <c:v>10.52093973442288</c:v>
                </c:pt>
                <c:pt idx="6">
                  <c:v>12.222222222222221</c:v>
                </c:pt>
                <c:pt idx="7">
                  <c:v>4.1471048513302033</c:v>
                </c:pt>
                <c:pt idx="8">
                  <c:v>9.4557823129251695</c:v>
                </c:pt>
                <c:pt idx="9">
                  <c:v>20.952380952380953</c:v>
                </c:pt>
                <c:pt idx="10">
                  <c:v>1.9298245614035088</c:v>
                </c:pt>
                <c:pt idx="11">
                  <c:v>19.623233908948194</c:v>
                </c:pt>
                <c:pt idx="12">
                  <c:v>44.326241134751776</c:v>
                </c:pt>
                <c:pt idx="13">
                  <c:v>12.931034482758621</c:v>
                </c:pt>
                <c:pt idx="14">
                  <c:v>30.565371024734983</c:v>
                </c:pt>
                <c:pt idx="15">
                  <c:v>4.6471600688468158</c:v>
                </c:pt>
                <c:pt idx="16">
                  <c:v>30</c:v>
                </c:pt>
                <c:pt idx="17">
                  <c:v>1.5789473684210527</c:v>
                </c:pt>
                <c:pt idx="18">
                  <c:v>25.96153846153846</c:v>
                </c:pt>
                <c:pt idx="19">
                  <c:v>23.547717842323653</c:v>
                </c:pt>
                <c:pt idx="20">
                  <c:v>0.46082949308755761</c:v>
                </c:pt>
                <c:pt idx="21">
                  <c:v>2.1604938271604937</c:v>
                </c:pt>
                <c:pt idx="22">
                  <c:v>5.1928783382789314</c:v>
                </c:pt>
                <c:pt idx="23">
                  <c:v>4.1775456919060057</c:v>
                </c:pt>
                <c:pt idx="24">
                  <c:v>6.1604584527220627</c:v>
                </c:pt>
                <c:pt idx="25">
                  <c:v>9.9371069182389942</c:v>
                </c:pt>
                <c:pt idx="26">
                  <c:v>42.783835792174472</c:v>
                </c:pt>
                <c:pt idx="27">
                  <c:v>19.058295964125559</c:v>
                </c:pt>
                <c:pt idx="28">
                  <c:v>27.285318559556785</c:v>
                </c:pt>
                <c:pt idx="29">
                  <c:v>11.746987951807229</c:v>
                </c:pt>
                <c:pt idx="30">
                  <c:v>26.344086021505376</c:v>
                </c:pt>
                <c:pt idx="31">
                  <c:v>28.288543140028288</c:v>
                </c:pt>
                <c:pt idx="32">
                  <c:v>4.3209876543209873</c:v>
                </c:pt>
                <c:pt idx="33">
                  <c:v>7.1672354948805461</c:v>
                </c:pt>
                <c:pt idx="34">
                  <c:v>1.0245901639344261</c:v>
                </c:pt>
                <c:pt idx="35">
                  <c:v>19.212598425196852</c:v>
                </c:pt>
                <c:pt idx="36">
                  <c:v>4.9622437971952538</c:v>
                </c:pt>
                <c:pt idx="37">
                  <c:v>12.172774869109947</c:v>
                </c:pt>
                <c:pt idx="38">
                  <c:v>19.037871033776867</c:v>
                </c:pt>
                <c:pt idx="39">
                  <c:v>0.99337748344370858</c:v>
                </c:pt>
                <c:pt idx="40">
                  <c:v>6.2801932367149762</c:v>
                </c:pt>
                <c:pt idx="41">
                  <c:v>1.3435700575815739</c:v>
                </c:pt>
                <c:pt idx="42">
                  <c:v>19.393939393939394</c:v>
                </c:pt>
                <c:pt idx="43">
                  <c:v>5.8275058275058278</c:v>
                </c:pt>
                <c:pt idx="44">
                  <c:v>13.25468424705066</c:v>
                </c:pt>
                <c:pt idx="45">
                  <c:v>15.131578947368421</c:v>
                </c:pt>
                <c:pt idx="46">
                  <c:v>41.520467836257311</c:v>
                </c:pt>
                <c:pt idx="47">
                  <c:v>14.041994750656167</c:v>
                </c:pt>
                <c:pt idx="48">
                  <c:v>11.971830985915492</c:v>
                </c:pt>
                <c:pt idx="49">
                  <c:v>6.4439140811455848</c:v>
                </c:pt>
                <c:pt idx="50">
                  <c:v>4.1575492341356677</c:v>
                </c:pt>
                <c:pt idx="51">
                  <c:v>8.7565674255691768</c:v>
                </c:pt>
                <c:pt idx="52">
                  <c:v>8.3550913838120113</c:v>
                </c:pt>
                <c:pt idx="53">
                  <c:v>9.6330275229357802</c:v>
                </c:pt>
                <c:pt idx="54">
                  <c:v>4.7468354430379751</c:v>
                </c:pt>
                <c:pt idx="55">
                  <c:v>25.276752767527675</c:v>
                </c:pt>
                <c:pt idx="56">
                  <c:v>38.599348534201951</c:v>
                </c:pt>
                <c:pt idx="57">
                  <c:v>39.463087248322147</c:v>
                </c:pt>
                <c:pt idx="58">
                  <c:v>33.916083916083913</c:v>
                </c:pt>
                <c:pt idx="59">
                  <c:v>12.258064516129032</c:v>
                </c:pt>
                <c:pt idx="60">
                  <c:v>2.5337837837837838</c:v>
                </c:pt>
                <c:pt idx="61">
                  <c:v>8.9912280701754383</c:v>
                </c:pt>
                <c:pt idx="62">
                  <c:v>13.218390804597702</c:v>
                </c:pt>
                <c:pt idx="63">
                  <c:v>19.581464872944693</c:v>
                </c:pt>
                <c:pt idx="64">
                  <c:v>9.4573643410852721</c:v>
                </c:pt>
                <c:pt idx="65">
                  <c:v>15.963855421686747</c:v>
                </c:pt>
                <c:pt idx="66">
                  <c:v>9.0047393364928912</c:v>
                </c:pt>
                <c:pt idx="67">
                  <c:v>7.511737089201878</c:v>
                </c:pt>
                <c:pt idx="68">
                  <c:v>23.798358733880423</c:v>
                </c:pt>
                <c:pt idx="69">
                  <c:v>19.239130434782609</c:v>
                </c:pt>
                <c:pt idx="70">
                  <c:v>26.523297491039425</c:v>
                </c:pt>
                <c:pt idx="71">
                  <c:v>39.179632248939178</c:v>
                </c:pt>
                <c:pt idx="72">
                  <c:v>37.797356828193834</c:v>
                </c:pt>
                <c:pt idx="73">
                  <c:v>45.635910224438902</c:v>
                </c:pt>
                <c:pt idx="74">
                  <c:v>1.5815085158150852</c:v>
                </c:pt>
                <c:pt idx="75">
                  <c:v>2.1613832853025938</c:v>
                </c:pt>
                <c:pt idx="76">
                  <c:v>26.195652173913043</c:v>
                </c:pt>
                <c:pt idx="77">
                  <c:v>21.780303030303031</c:v>
                </c:pt>
                <c:pt idx="78">
                  <c:v>78.651685393258433</c:v>
                </c:pt>
                <c:pt idx="79">
                  <c:v>0</c:v>
                </c:pt>
                <c:pt idx="80">
                  <c:v>16.391359593392629</c:v>
                </c:pt>
                <c:pt idx="81">
                  <c:v>1.6304347826086956</c:v>
                </c:pt>
                <c:pt idx="82">
                  <c:v>5.8608058608058604</c:v>
                </c:pt>
                <c:pt idx="83">
                  <c:v>11.111111111111111</c:v>
                </c:pt>
                <c:pt idx="84">
                  <c:v>1.1111111111111112</c:v>
                </c:pt>
                <c:pt idx="85">
                  <c:v>4.6448087431693992</c:v>
                </c:pt>
                <c:pt idx="86">
                  <c:v>4.8016701461377869</c:v>
                </c:pt>
                <c:pt idx="87">
                  <c:v>3.3613445378151261</c:v>
                </c:pt>
                <c:pt idx="88">
                  <c:v>10.291595197255575</c:v>
                </c:pt>
                <c:pt idx="89">
                  <c:v>12.903225806451612</c:v>
                </c:pt>
                <c:pt idx="90">
                  <c:v>2.1683673469387754</c:v>
                </c:pt>
                <c:pt idx="91">
                  <c:v>1.3869625520110958</c:v>
                </c:pt>
                <c:pt idx="92">
                  <c:v>1.0115606936416186</c:v>
                </c:pt>
                <c:pt idx="93">
                  <c:v>0</c:v>
                </c:pt>
                <c:pt idx="94">
                  <c:v>11.567567567567568</c:v>
                </c:pt>
                <c:pt idx="95">
                  <c:v>2.2091310751104567</c:v>
                </c:pt>
                <c:pt idx="96">
                  <c:v>11.056105610561056</c:v>
                </c:pt>
                <c:pt idx="97">
                  <c:v>4.6546546546546548</c:v>
                </c:pt>
                <c:pt idx="98">
                  <c:v>1.2784090909090908</c:v>
                </c:pt>
                <c:pt idx="99">
                  <c:v>9.7345132743362832</c:v>
                </c:pt>
                <c:pt idx="100">
                  <c:v>10.488505747126437</c:v>
                </c:pt>
                <c:pt idx="101">
                  <c:v>4.0048543689320386</c:v>
                </c:pt>
                <c:pt idx="102">
                  <c:v>0.55555555555555558</c:v>
                </c:pt>
                <c:pt idx="103">
                  <c:v>0.56657223796033995</c:v>
                </c:pt>
                <c:pt idx="104">
                  <c:v>0.93283582089552242</c:v>
                </c:pt>
                <c:pt idx="105">
                  <c:v>0.97560975609756095</c:v>
                </c:pt>
                <c:pt idx="106">
                  <c:v>0.20703933747412009</c:v>
                </c:pt>
                <c:pt idx="107">
                  <c:v>1.4227642276422765</c:v>
                </c:pt>
                <c:pt idx="108">
                  <c:v>1.8789144050104385</c:v>
                </c:pt>
                <c:pt idx="109">
                  <c:v>0</c:v>
                </c:pt>
                <c:pt idx="110">
                  <c:v>10.971428571428572</c:v>
                </c:pt>
                <c:pt idx="111">
                  <c:v>40</c:v>
                </c:pt>
                <c:pt idx="112">
                  <c:v>41.536863966770511</c:v>
                </c:pt>
                <c:pt idx="113">
                  <c:v>7.6523994811932559</c:v>
                </c:pt>
                <c:pt idx="114">
                  <c:v>4.4534412955465585</c:v>
                </c:pt>
                <c:pt idx="115">
                  <c:v>12.629070691024623</c:v>
                </c:pt>
                <c:pt idx="116">
                  <c:v>0.88105726872246692</c:v>
                </c:pt>
                <c:pt idx="117">
                  <c:v>4.8717948717948714</c:v>
                </c:pt>
                <c:pt idx="118">
                  <c:v>6.0308555399719497</c:v>
                </c:pt>
                <c:pt idx="119">
                  <c:v>0.81521739130434778</c:v>
                </c:pt>
                <c:pt idx="120">
                  <c:v>1.5151515151515151</c:v>
                </c:pt>
                <c:pt idx="121">
                  <c:v>2.5</c:v>
                </c:pt>
                <c:pt idx="122">
                  <c:v>6.2003179650238476</c:v>
                </c:pt>
                <c:pt idx="123">
                  <c:v>4.5673076923076925</c:v>
                </c:pt>
                <c:pt idx="124">
                  <c:v>13.978494623655914</c:v>
                </c:pt>
                <c:pt idx="125">
                  <c:v>3.1609195402298851</c:v>
                </c:pt>
                <c:pt idx="126">
                  <c:v>0</c:v>
                </c:pt>
                <c:pt idx="127">
                  <c:v>0.17301038062283736</c:v>
                </c:pt>
                <c:pt idx="128">
                  <c:v>1.2096774193548387</c:v>
                </c:pt>
                <c:pt idx="129">
                  <c:v>0.53003533568904593</c:v>
                </c:pt>
                <c:pt idx="130">
                  <c:v>0.72332730560578662</c:v>
                </c:pt>
                <c:pt idx="131">
                  <c:v>1.2415349887133182</c:v>
                </c:pt>
                <c:pt idx="132">
                  <c:v>45.454545454545453</c:v>
                </c:pt>
                <c:pt idx="133">
                  <c:v>7.6294277929155312</c:v>
                </c:pt>
                <c:pt idx="134">
                  <c:v>1.3133208255159474</c:v>
                </c:pt>
                <c:pt idx="135">
                  <c:v>54.166666666666664</c:v>
                </c:pt>
                <c:pt idx="136">
                  <c:v>0</c:v>
                </c:pt>
                <c:pt idx="137">
                  <c:v>0.18691588785046728</c:v>
                </c:pt>
                <c:pt idx="138">
                  <c:v>0.34542314335060448</c:v>
                </c:pt>
                <c:pt idx="139">
                  <c:v>0.54446460980036293</c:v>
                </c:pt>
                <c:pt idx="140">
                  <c:v>0.48154093097913325</c:v>
                </c:pt>
                <c:pt idx="141">
                  <c:v>0.20366598778004075</c:v>
                </c:pt>
                <c:pt idx="142">
                  <c:v>0.59642147117296218</c:v>
                </c:pt>
                <c:pt idx="143">
                  <c:v>2.5069637883008355</c:v>
                </c:pt>
                <c:pt idx="144">
                  <c:v>5.0420168067226889</c:v>
                </c:pt>
                <c:pt idx="145">
                  <c:v>4.0740740740740744</c:v>
                </c:pt>
                <c:pt idx="146">
                  <c:v>10.038610038610038</c:v>
                </c:pt>
                <c:pt idx="147">
                  <c:v>25.619834710743802</c:v>
                </c:pt>
                <c:pt idx="148">
                  <c:v>1.3227513227513228</c:v>
                </c:pt>
                <c:pt idx="149">
                  <c:v>20.891364902506965</c:v>
                </c:pt>
                <c:pt idx="150">
                  <c:v>11.964285714285714</c:v>
                </c:pt>
                <c:pt idx="151">
                  <c:v>13.823163138231632</c:v>
                </c:pt>
                <c:pt idx="152">
                  <c:v>0.4098360655737705</c:v>
                </c:pt>
                <c:pt idx="153">
                  <c:v>43.816254416961129</c:v>
                </c:pt>
                <c:pt idx="154">
                  <c:v>1.8867924528301887</c:v>
                </c:pt>
                <c:pt idx="155">
                  <c:v>3.3285094066570187</c:v>
                </c:pt>
                <c:pt idx="156">
                  <c:v>8.3665338645418323</c:v>
                </c:pt>
              </c:numCache>
            </c:numRef>
          </c:yVal>
          <c:bubbleSize>
            <c:numRef>
              <c:f>'Мособлдума одномандатный №6'!$J$2:$J$183</c:f>
              <c:numCache>
                <c:formatCode>General</c:formatCode>
                <c:ptCount val="157"/>
                <c:pt idx="0">
                  <c:v>2451</c:v>
                </c:pt>
                <c:pt idx="1">
                  <c:v>1792</c:v>
                </c:pt>
                <c:pt idx="2">
                  <c:v>1987</c:v>
                </c:pt>
                <c:pt idx="3">
                  <c:v>2122</c:v>
                </c:pt>
                <c:pt idx="4">
                  <c:v>1909</c:v>
                </c:pt>
                <c:pt idx="5">
                  <c:v>1948</c:v>
                </c:pt>
                <c:pt idx="6">
                  <c:v>1966</c:v>
                </c:pt>
                <c:pt idx="7">
                  <c:v>1755</c:v>
                </c:pt>
                <c:pt idx="8">
                  <c:v>2053</c:v>
                </c:pt>
                <c:pt idx="9">
                  <c:v>2353</c:v>
                </c:pt>
                <c:pt idx="10">
                  <c:v>2236</c:v>
                </c:pt>
                <c:pt idx="11">
                  <c:v>878</c:v>
                </c:pt>
                <c:pt idx="12">
                  <c:v>1109</c:v>
                </c:pt>
                <c:pt idx="13">
                  <c:v>2346</c:v>
                </c:pt>
                <c:pt idx="14">
                  <c:v>1222</c:v>
                </c:pt>
                <c:pt idx="15">
                  <c:v>1986</c:v>
                </c:pt>
                <c:pt idx="16">
                  <c:v>377</c:v>
                </c:pt>
                <c:pt idx="17">
                  <c:v>1248</c:v>
                </c:pt>
                <c:pt idx="18">
                  <c:v>1716</c:v>
                </c:pt>
                <c:pt idx="19">
                  <c:v>2695</c:v>
                </c:pt>
                <c:pt idx="20">
                  <c:v>1800</c:v>
                </c:pt>
                <c:pt idx="21">
                  <c:v>2108</c:v>
                </c:pt>
                <c:pt idx="22">
                  <c:v>2215</c:v>
                </c:pt>
                <c:pt idx="23">
                  <c:v>2112</c:v>
                </c:pt>
                <c:pt idx="24">
                  <c:v>2268</c:v>
                </c:pt>
                <c:pt idx="25">
                  <c:v>2112</c:v>
                </c:pt>
                <c:pt idx="26">
                  <c:v>2579</c:v>
                </c:pt>
                <c:pt idx="27">
                  <c:v>1659</c:v>
                </c:pt>
                <c:pt idx="28">
                  <c:v>1947</c:v>
                </c:pt>
                <c:pt idx="29">
                  <c:v>857</c:v>
                </c:pt>
                <c:pt idx="30">
                  <c:v>1412</c:v>
                </c:pt>
                <c:pt idx="31">
                  <c:v>2047</c:v>
                </c:pt>
                <c:pt idx="32">
                  <c:v>536</c:v>
                </c:pt>
                <c:pt idx="33">
                  <c:v>1745</c:v>
                </c:pt>
                <c:pt idx="34">
                  <c:v>1453</c:v>
                </c:pt>
                <c:pt idx="35">
                  <c:v>1496</c:v>
                </c:pt>
                <c:pt idx="36">
                  <c:v>2669</c:v>
                </c:pt>
                <c:pt idx="37">
                  <c:v>2799</c:v>
                </c:pt>
                <c:pt idx="38">
                  <c:v>2544</c:v>
                </c:pt>
                <c:pt idx="39">
                  <c:v>1670</c:v>
                </c:pt>
                <c:pt idx="40">
                  <c:v>1891</c:v>
                </c:pt>
                <c:pt idx="41">
                  <c:v>1984</c:v>
                </c:pt>
                <c:pt idx="42">
                  <c:v>628</c:v>
                </c:pt>
                <c:pt idx="43">
                  <c:v>1469</c:v>
                </c:pt>
                <c:pt idx="44">
                  <c:v>2564</c:v>
                </c:pt>
                <c:pt idx="45">
                  <c:v>711</c:v>
                </c:pt>
                <c:pt idx="46">
                  <c:v>676</c:v>
                </c:pt>
                <c:pt idx="47">
                  <c:v>1747</c:v>
                </c:pt>
                <c:pt idx="48">
                  <c:v>1907</c:v>
                </c:pt>
                <c:pt idx="49">
                  <c:v>1194</c:v>
                </c:pt>
                <c:pt idx="50">
                  <c:v>1129</c:v>
                </c:pt>
                <c:pt idx="51">
                  <c:v>1498</c:v>
                </c:pt>
                <c:pt idx="52">
                  <c:v>1859</c:v>
                </c:pt>
                <c:pt idx="53">
                  <c:v>1315</c:v>
                </c:pt>
                <c:pt idx="54">
                  <c:v>1300</c:v>
                </c:pt>
                <c:pt idx="55">
                  <c:v>2038</c:v>
                </c:pt>
                <c:pt idx="56">
                  <c:v>1190</c:v>
                </c:pt>
                <c:pt idx="57">
                  <c:v>1521</c:v>
                </c:pt>
                <c:pt idx="58">
                  <c:v>710</c:v>
                </c:pt>
                <c:pt idx="59">
                  <c:v>1525</c:v>
                </c:pt>
                <c:pt idx="60">
                  <c:v>1495</c:v>
                </c:pt>
                <c:pt idx="61">
                  <c:v>1808</c:v>
                </c:pt>
                <c:pt idx="62">
                  <c:v>2012</c:v>
                </c:pt>
                <c:pt idx="63">
                  <c:v>1681</c:v>
                </c:pt>
                <c:pt idx="64">
                  <c:v>1685</c:v>
                </c:pt>
                <c:pt idx="65">
                  <c:v>1529</c:v>
                </c:pt>
                <c:pt idx="66">
                  <c:v>1800</c:v>
                </c:pt>
                <c:pt idx="67">
                  <c:v>1896</c:v>
                </c:pt>
                <c:pt idx="68">
                  <c:v>1963</c:v>
                </c:pt>
                <c:pt idx="69">
                  <c:v>1902</c:v>
                </c:pt>
                <c:pt idx="70">
                  <c:v>1647</c:v>
                </c:pt>
                <c:pt idx="71">
                  <c:v>1316</c:v>
                </c:pt>
                <c:pt idx="72">
                  <c:v>2387</c:v>
                </c:pt>
                <c:pt idx="73">
                  <c:v>1535</c:v>
                </c:pt>
                <c:pt idx="74">
                  <c:v>2645</c:v>
                </c:pt>
                <c:pt idx="75">
                  <c:v>2043</c:v>
                </c:pt>
                <c:pt idx="76">
                  <c:v>1990</c:v>
                </c:pt>
                <c:pt idx="77">
                  <c:v>988</c:v>
                </c:pt>
                <c:pt idx="78">
                  <c:v>89</c:v>
                </c:pt>
                <c:pt idx="79">
                  <c:v>83</c:v>
                </c:pt>
                <c:pt idx="80">
                  <c:v>1762</c:v>
                </c:pt>
                <c:pt idx="81">
                  <c:v>1063</c:v>
                </c:pt>
                <c:pt idx="82">
                  <c:v>2316</c:v>
                </c:pt>
                <c:pt idx="83">
                  <c:v>1250</c:v>
                </c:pt>
                <c:pt idx="84">
                  <c:v>1265</c:v>
                </c:pt>
                <c:pt idx="85">
                  <c:v>1736</c:v>
                </c:pt>
                <c:pt idx="86">
                  <c:v>2586</c:v>
                </c:pt>
                <c:pt idx="87">
                  <c:v>1243</c:v>
                </c:pt>
                <c:pt idx="88">
                  <c:v>1451</c:v>
                </c:pt>
                <c:pt idx="89">
                  <c:v>1179</c:v>
                </c:pt>
                <c:pt idx="90">
                  <c:v>2285</c:v>
                </c:pt>
                <c:pt idx="91">
                  <c:v>1678</c:v>
                </c:pt>
                <c:pt idx="92">
                  <c:v>2025</c:v>
                </c:pt>
                <c:pt idx="93">
                  <c:v>0</c:v>
                </c:pt>
                <c:pt idx="94">
                  <c:v>2430</c:v>
                </c:pt>
                <c:pt idx="95">
                  <c:v>2209</c:v>
                </c:pt>
                <c:pt idx="96">
                  <c:v>2330</c:v>
                </c:pt>
                <c:pt idx="97">
                  <c:v>2013</c:v>
                </c:pt>
                <c:pt idx="98">
                  <c:v>2023</c:v>
                </c:pt>
                <c:pt idx="99">
                  <c:v>2032</c:v>
                </c:pt>
                <c:pt idx="100">
                  <c:v>1759</c:v>
                </c:pt>
                <c:pt idx="101">
                  <c:v>2293</c:v>
                </c:pt>
                <c:pt idx="102">
                  <c:v>2176</c:v>
                </c:pt>
                <c:pt idx="103">
                  <c:v>1998</c:v>
                </c:pt>
                <c:pt idx="104">
                  <c:v>1307</c:v>
                </c:pt>
                <c:pt idx="105">
                  <c:v>1453</c:v>
                </c:pt>
                <c:pt idx="106">
                  <c:v>1542</c:v>
                </c:pt>
                <c:pt idx="107">
                  <c:v>1462</c:v>
                </c:pt>
                <c:pt idx="108">
                  <c:v>1433</c:v>
                </c:pt>
                <c:pt idx="109">
                  <c:v>1850</c:v>
                </c:pt>
                <c:pt idx="110">
                  <c:v>2111</c:v>
                </c:pt>
                <c:pt idx="111">
                  <c:v>1035</c:v>
                </c:pt>
                <c:pt idx="112">
                  <c:v>1915</c:v>
                </c:pt>
                <c:pt idx="113">
                  <c:v>2290</c:v>
                </c:pt>
                <c:pt idx="114">
                  <c:v>2251</c:v>
                </c:pt>
                <c:pt idx="115">
                  <c:v>1800</c:v>
                </c:pt>
                <c:pt idx="116">
                  <c:v>2162</c:v>
                </c:pt>
                <c:pt idx="117">
                  <c:v>2058</c:v>
                </c:pt>
                <c:pt idx="118">
                  <c:v>2109</c:v>
                </c:pt>
                <c:pt idx="119">
                  <c:v>1251</c:v>
                </c:pt>
                <c:pt idx="120">
                  <c:v>1278</c:v>
                </c:pt>
                <c:pt idx="121">
                  <c:v>981</c:v>
                </c:pt>
                <c:pt idx="122">
                  <c:v>1911</c:v>
                </c:pt>
                <c:pt idx="123">
                  <c:v>2296</c:v>
                </c:pt>
                <c:pt idx="124">
                  <c:v>2186</c:v>
                </c:pt>
                <c:pt idx="125">
                  <c:v>2642</c:v>
                </c:pt>
                <c:pt idx="126">
                  <c:v>1775</c:v>
                </c:pt>
                <c:pt idx="127">
                  <c:v>1894</c:v>
                </c:pt>
                <c:pt idx="128">
                  <c:v>2070</c:v>
                </c:pt>
                <c:pt idx="129">
                  <c:v>2196</c:v>
                </c:pt>
                <c:pt idx="130">
                  <c:v>2551</c:v>
                </c:pt>
                <c:pt idx="131">
                  <c:v>2922</c:v>
                </c:pt>
                <c:pt idx="132">
                  <c:v>752</c:v>
                </c:pt>
                <c:pt idx="133">
                  <c:v>793</c:v>
                </c:pt>
                <c:pt idx="134">
                  <c:v>1731</c:v>
                </c:pt>
                <c:pt idx="135">
                  <c:v>1086</c:v>
                </c:pt>
                <c:pt idx="136">
                  <c:v>3022</c:v>
                </c:pt>
                <c:pt idx="137">
                  <c:v>2514</c:v>
                </c:pt>
                <c:pt idx="138">
                  <c:v>2306</c:v>
                </c:pt>
                <c:pt idx="139">
                  <c:v>2212</c:v>
                </c:pt>
                <c:pt idx="140">
                  <c:v>2419</c:v>
                </c:pt>
                <c:pt idx="141">
                  <c:v>2132</c:v>
                </c:pt>
                <c:pt idx="142">
                  <c:v>2359</c:v>
                </c:pt>
                <c:pt idx="143">
                  <c:v>2958</c:v>
                </c:pt>
                <c:pt idx="144">
                  <c:v>749</c:v>
                </c:pt>
                <c:pt idx="145">
                  <c:v>2663</c:v>
                </c:pt>
                <c:pt idx="146">
                  <c:v>1277</c:v>
                </c:pt>
                <c:pt idx="147">
                  <c:v>1094</c:v>
                </c:pt>
                <c:pt idx="148">
                  <c:v>1232</c:v>
                </c:pt>
                <c:pt idx="149">
                  <c:v>1023</c:v>
                </c:pt>
                <c:pt idx="150">
                  <c:v>1695</c:v>
                </c:pt>
                <c:pt idx="151">
                  <c:v>1677</c:v>
                </c:pt>
                <c:pt idx="152">
                  <c:v>2354</c:v>
                </c:pt>
                <c:pt idx="153">
                  <c:v>1806</c:v>
                </c:pt>
                <c:pt idx="154">
                  <c:v>1294</c:v>
                </c:pt>
                <c:pt idx="155">
                  <c:v>1658</c:v>
                </c:pt>
                <c:pt idx="156">
                  <c:v>1068</c:v>
                </c:pt>
              </c:numCache>
            </c:numRef>
          </c:bubbleSize>
          <c:bubble3D val="0"/>
          <c:extLst>
            <c:ext xmlns:c16="http://schemas.microsoft.com/office/drawing/2014/chart" uri="{C3380CC4-5D6E-409C-BE32-E72D297353CC}">
              <c16:uniqueId val="{00000001-586A-4E7D-A7F4-4180F8983B15}"/>
            </c:ext>
          </c:extLst>
        </c:ser>
        <c:ser>
          <c:idx val="2"/>
          <c:order val="9"/>
          <c:tx>
            <c:strRef>
              <c:f>'Мособлдума одномандатный №6'!$AB$202</c:f>
              <c:strCache>
                <c:ptCount val="1"/>
                <c:pt idx="0">
                  <c:v>Вручную задано: Лазутина (ЕР) без фальс. (%)</c:v>
                </c:pt>
              </c:strCache>
            </c:strRef>
          </c:tx>
          <c:spPr>
            <a:ln w="25400">
              <a:noFill/>
            </a:ln>
          </c:spPr>
          <c:invertIfNegative val="0"/>
          <c:errBars>
            <c:errDir val="x"/>
            <c:errBarType val="minus"/>
            <c:errValType val="percentage"/>
            <c:noEndCap val="1"/>
            <c:val val="100"/>
            <c:spPr>
              <a:ln>
                <a:solidFill>
                  <a:srgbClr val="0000FF">
                    <a:alpha val="50000"/>
                  </a:srgbClr>
                </a:solidFill>
              </a:ln>
            </c:spPr>
          </c:errBars>
          <c:xVal>
            <c:numLit>
              <c:formatCode>General</c:formatCode>
              <c:ptCount val="1"/>
              <c:pt idx="0">
                <c:v>100</c:v>
              </c:pt>
            </c:numLit>
          </c:xVal>
          <c:yVal>
            <c:numRef>
              <c:f>'Мособлдума одномандатный №6'!$AB$203</c:f>
              <c:numCache>
                <c:formatCode>0.0</c:formatCode>
                <c:ptCount val="1"/>
                <c:pt idx="0">
                  <c:v>32.4</c:v>
                </c:pt>
              </c:numCache>
            </c:numRef>
          </c:yVal>
          <c:bubbleSize>
            <c:numLit>
              <c:formatCode>General</c:formatCode>
              <c:ptCount val="10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numLit>
          </c:bubbleSize>
          <c:bubble3D val="0"/>
          <c:extLst>
            <c:ext xmlns:c16="http://schemas.microsoft.com/office/drawing/2014/chart" uri="{C3380CC4-5D6E-409C-BE32-E72D297353CC}">
              <c16:uniqueId val="{00000000-D365-4B9D-B5CC-DCB75184B67E}"/>
            </c:ext>
          </c:extLst>
        </c:ser>
        <c:ser>
          <c:idx val="3"/>
          <c:order val="10"/>
          <c:tx>
            <c:strRef>
              <c:f>'Мособлдума одномандатный №6'!$AB$221</c:f>
              <c:strCache>
                <c:ptCount val="1"/>
                <c:pt idx="0">
                  <c:v>Макс. размер кружка</c:v>
                </c:pt>
              </c:strCache>
            </c:strRef>
          </c:tx>
          <c:spPr>
            <a:solidFill>
              <a:srgbClr val="000000">
                <a:alpha val="50000"/>
              </a:srgbClr>
            </a:solidFill>
            <a:ln w="25400">
              <a:noFill/>
            </a:ln>
          </c:spPr>
          <c:invertIfNegative val="0"/>
          <c:xVal>
            <c:numLit>
              <c:formatCode>General</c:formatCode>
              <c:ptCount val="1"/>
              <c:pt idx="0">
                <c:v>-10</c:v>
              </c:pt>
            </c:numLit>
          </c:xVal>
          <c:yVal>
            <c:numLit>
              <c:formatCode>General</c:formatCode>
              <c:ptCount val="1"/>
              <c:pt idx="0">
                <c:v>-10</c:v>
              </c:pt>
            </c:numLit>
          </c:yVal>
          <c:bubbleSize>
            <c:numRef>
              <c:f>'Мособлдума одномандатный №6'!$AB$222</c:f>
              <c:numCache>
                <c:formatCode>General</c:formatCode>
                <c:ptCount val="1"/>
                <c:pt idx="0">
                  <c:v>6044</c:v>
                </c:pt>
              </c:numCache>
            </c:numRef>
          </c:bubbleSize>
          <c:bubble3D val="0"/>
          <c:extLst>
            <c:ext xmlns:c16="http://schemas.microsoft.com/office/drawing/2014/chart" uri="{C3380CC4-5D6E-409C-BE32-E72D297353CC}">
              <c16:uniqueId val="{00000000-62AB-4074-8801-5EDD309F184D}"/>
            </c:ext>
          </c:extLst>
        </c:ser>
        <c:dLbls>
          <c:showLegendKey val="0"/>
          <c:showVal val="0"/>
          <c:showCatName val="0"/>
          <c:showSerName val="0"/>
          <c:showPercent val="0"/>
          <c:showBubbleSize val="0"/>
        </c:dLbls>
        <c:bubbleScale val="10"/>
        <c:showNegBubbles val="0"/>
        <c:axId val="1404683680"/>
        <c:axId val="1467487472"/>
      </c:bubbleChart>
      <c:valAx>
        <c:axId val="1404683680"/>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ru-RU"/>
                  <a:t>Явка (%)</a:t>
                </a:r>
                <a:endParaRPr lang="en-US"/>
              </a:p>
            </c:rich>
          </c:tx>
          <c:layout>
            <c:manualLayout>
              <c:xMode val="edge"/>
              <c:yMode val="edge"/>
              <c:x val="0.52512194143602087"/>
              <c:y val="0.97176842105263161"/>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7487472"/>
        <c:crossesAt val="0"/>
        <c:crossBetween val="midCat"/>
      </c:valAx>
      <c:valAx>
        <c:axId val="1467487472"/>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ru-RU"/>
                  <a:t>% за</a:t>
                </a:r>
                <a:endParaRPr lang="en-US"/>
              </a:p>
            </c:rich>
          </c:tx>
          <c:layout>
            <c:manualLayout>
              <c:xMode val="edge"/>
              <c:yMode val="edge"/>
              <c:x val="0"/>
              <c:y val="0.4319714912280701"/>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683680"/>
        <c:crosses val="autoZero"/>
        <c:crossBetween val="midCat"/>
        <c:majorUnit val="10"/>
      </c:valAx>
    </c:plotArea>
    <c:legend>
      <c:legendPos val="b"/>
      <c:layout>
        <c:manualLayout>
          <c:xMode val="edge"/>
          <c:yMode val="edge"/>
          <c:x val="3.999358202968311E-2"/>
          <c:y val="0.11734371345029242"/>
          <c:w val="0.17806377858002409"/>
          <c:h val="0.29577280701754388"/>
        </c:manualLayout>
      </c:layout>
      <c:overlay val="0"/>
      <c:spPr>
        <a:solidFill>
          <a:srgbClr val="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928574124396142E-2"/>
          <c:y val="2.9282905247058105E-2"/>
          <c:w val="0.95261901191169107"/>
          <c:h val="0.92797105263157886"/>
        </c:manualLayout>
      </c:layout>
      <c:bubbleChart>
        <c:varyColors val="0"/>
        <c:ser>
          <c:idx val="8"/>
          <c:order val="0"/>
          <c:tx>
            <c:strRef>
              <c:f>'Мособлдума одномандатный №13'!$AB$1</c:f>
              <c:strCache>
                <c:ptCount val="1"/>
                <c:pt idx="0">
                  <c:v>Вавилов (КПРФ)</c:v>
                </c:pt>
              </c:strCache>
            </c:strRef>
          </c:tx>
          <c:spPr>
            <a:solidFill>
              <a:srgbClr val="FF0000">
                <a:alpha val="49804"/>
              </a:srgbClr>
            </a:solidFill>
            <a:ln w="25400">
              <a:noFill/>
            </a:ln>
          </c:spPr>
          <c:invertIfNegative val="0"/>
          <c:xVal>
            <c:numRef>
              <c:f>'Мособлдума одномандатный №13'!$O$2:$O$183</c:f>
              <c:numCache>
                <c:formatCode>0.0</c:formatCode>
                <c:ptCount val="25"/>
                <c:pt idx="0">
                  <c:v>44.890873015873019</c:v>
                </c:pt>
                <c:pt idx="1">
                  <c:v>30.472103004291846</c:v>
                </c:pt>
                <c:pt idx="2">
                  <c:v>38.564542046063202</c:v>
                </c:pt>
                <c:pt idx="3">
                  <c:v>33.989870568373661</c:v>
                </c:pt>
                <c:pt idx="4">
                  <c:v>38.18019625334523</c:v>
                </c:pt>
                <c:pt idx="5">
                  <c:v>29.424877396344183</c:v>
                </c:pt>
                <c:pt idx="6">
                  <c:v>38.431061806656103</c:v>
                </c:pt>
                <c:pt idx="7">
                  <c:v>60.397830018083184</c:v>
                </c:pt>
                <c:pt idx="8">
                  <c:v>40.557939914163093</c:v>
                </c:pt>
                <c:pt idx="9">
                  <c:v>33.15965761071827</c:v>
                </c:pt>
                <c:pt idx="10">
                  <c:v>33.262350936967636</c:v>
                </c:pt>
                <c:pt idx="11">
                  <c:v>66.638690725975664</c:v>
                </c:pt>
                <c:pt idx="12">
                  <c:v>75.91463414634147</c:v>
                </c:pt>
                <c:pt idx="13">
                  <c:v>63.553530751708429</c:v>
                </c:pt>
                <c:pt idx="14">
                  <c:v>38.032581453634087</c:v>
                </c:pt>
                <c:pt idx="15">
                  <c:v>46.834625322997418</c:v>
                </c:pt>
                <c:pt idx="16">
                  <c:v>54.770477047704773</c:v>
                </c:pt>
                <c:pt idx="17">
                  <c:v>39.83050847457627</c:v>
                </c:pt>
                <c:pt idx="18">
                  <c:v>36.756756756756758</c:v>
                </c:pt>
                <c:pt idx="19">
                  <c:v>41.573033707865171</c:v>
                </c:pt>
                <c:pt idx="20">
                  <c:v>77.949709864603477</c:v>
                </c:pt>
                <c:pt idx="21">
                  <c:v>63.985148514851488</c:v>
                </c:pt>
                <c:pt idx="22">
                  <c:v>65.171137835337646</c:v>
                </c:pt>
                <c:pt idx="23">
                  <c:v>56.747967479674799</c:v>
                </c:pt>
                <c:pt idx="24">
                  <c:v>54.05105438401776</c:v>
                </c:pt>
              </c:numCache>
            </c:numRef>
          </c:xVal>
          <c:yVal>
            <c:numRef>
              <c:f>'Мособлдума одномандатный №13'!$AB$2:$AB$183</c:f>
              <c:numCache>
                <c:formatCode>0.0</c:formatCode>
                <c:ptCount val="25"/>
                <c:pt idx="0">
                  <c:v>23.756906077348066</c:v>
                </c:pt>
                <c:pt idx="1">
                  <c:v>25.070821529745043</c:v>
                </c:pt>
                <c:pt idx="2">
                  <c:v>23.537604456824514</c:v>
                </c:pt>
                <c:pt idx="3">
                  <c:v>25.331125827814571</c:v>
                </c:pt>
                <c:pt idx="4">
                  <c:v>26.869158878504674</c:v>
                </c:pt>
                <c:pt idx="5">
                  <c:v>27.424242424242426</c:v>
                </c:pt>
                <c:pt idx="6">
                  <c:v>18.012422360248447</c:v>
                </c:pt>
                <c:pt idx="7">
                  <c:v>19.760479041916167</c:v>
                </c:pt>
                <c:pt idx="8">
                  <c:v>12.698412698412698</c:v>
                </c:pt>
                <c:pt idx="9">
                  <c:v>30.190796857463525</c:v>
                </c:pt>
                <c:pt idx="10">
                  <c:v>30.838709677419356</c:v>
                </c:pt>
                <c:pt idx="11">
                  <c:v>9.1309823677581861</c:v>
                </c:pt>
                <c:pt idx="12">
                  <c:v>4.0214477211796247</c:v>
                </c:pt>
                <c:pt idx="13">
                  <c:v>18.996415770609318</c:v>
                </c:pt>
                <c:pt idx="14">
                  <c:v>24.711696869851728</c:v>
                </c:pt>
                <c:pt idx="15">
                  <c:v>23.862068965517242</c:v>
                </c:pt>
                <c:pt idx="16">
                  <c:v>22.75</c:v>
                </c:pt>
                <c:pt idx="17">
                  <c:v>22.340425531914892</c:v>
                </c:pt>
                <c:pt idx="18">
                  <c:v>26.02291325695581</c:v>
                </c:pt>
                <c:pt idx="19">
                  <c:v>27.596017069701279</c:v>
                </c:pt>
                <c:pt idx="20">
                  <c:v>33.002481389578165</c:v>
                </c:pt>
                <c:pt idx="21">
                  <c:v>13.475177304964539</c:v>
                </c:pt>
                <c:pt idx="22">
                  <c:v>9.9502487562189046</c:v>
                </c:pt>
                <c:pt idx="23">
                  <c:v>23.638968481375358</c:v>
                </c:pt>
                <c:pt idx="24">
                  <c:v>11.704312114989733</c:v>
                </c:pt>
              </c:numCache>
            </c:numRef>
          </c:yVal>
          <c:bubbleSize>
            <c:numRef>
              <c:f>'Мособлдума одномандатный №13'!$J$2:$J$183</c:f>
              <c:numCache>
                <c:formatCode>General</c:formatCode>
                <c:ptCount val="25"/>
                <c:pt idx="0">
                  <c:v>2016</c:v>
                </c:pt>
                <c:pt idx="1">
                  <c:v>2330</c:v>
                </c:pt>
                <c:pt idx="2">
                  <c:v>1867</c:v>
                </c:pt>
                <c:pt idx="3">
                  <c:v>1777</c:v>
                </c:pt>
                <c:pt idx="4">
                  <c:v>1121</c:v>
                </c:pt>
                <c:pt idx="5">
                  <c:v>2243</c:v>
                </c:pt>
                <c:pt idx="6">
                  <c:v>1262</c:v>
                </c:pt>
                <c:pt idx="7">
                  <c:v>553</c:v>
                </c:pt>
                <c:pt idx="8">
                  <c:v>932</c:v>
                </c:pt>
                <c:pt idx="9">
                  <c:v>2687</c:v>
                </c:pt>
                <c:pt idx="10">
                  <c:v>2348</c:v>
                </c:pt>
                <c:pt idx="11">
                  <c:v>2383</c:v>
                </c:pt>
                <c:pt idx="12">
                  <c:v>984</c:v>
                </c:pt>
                <c:pt idx="13">
                  <c:v>439</c:v>
                </c:pt>
                <c:pt idx="14">
                  <c:v>1596</c:v>
                </c:pt>
                <c:pt idx="15">
                  <c:v>1548</c:v>
                </c:pt>
                <c:pt idx="16">
                  <c:v>2222</c:v>
                </c:pt>
                <c:pt idx="17">
                  <c:v>1888</c:v>
                </c:pt>
                <c:pt idx="18">
                  <c:v>1665</c:v>
                </c:pt>
                <c:pt idx="19">
                  <c:v>1691</c:v>
                </c:pt>
                <c:pt idx="20">
                  <c:v>517</c:v>
                </c:pt>
                <c:pt idx="21">
                  <c:v>2424</c:v>
                </c:pt>
                <c:pt idx="22">
                  <c:v>2162</c:v>
                </c:pt>
                <c:pt idx="23">
                  <c:v>1230</c:v>
                </c:pt>
                <c:pt idx="24">
                  <c:v>901</c:v>
                </c:pt>
              </c:numCache>
            </c:numRef>
          </c:bubbleSize>
          <c:bubble3D val="0"/>
          <c:extLst>
            <c:ext xmlns:c16="http://schemas.microsoft.com/office/drawing/2014/chart" uri="{C3380CC4-5D6E-409C-BE32-E72D297353CC}">
              <c16:uniqueId val="{00000000-D988-451C-AFB8-1B4BE27C9DF7}"/>
            </c:ext>
          </c:extLst>
        </c:ser>
        <c:ser>
          <c:idx val="9"/>
          <c:order val="1"/>
          <c:tx>
            <c:strRef>
              <c:f>'Мособлдума одномандатный №13'!$AD$1</c:f>
              <c:strCache>
                <c:ptCount val="1"/>
                <c:pt idx="0">
                  <c:v>Дорогих (Пенсионеров)</c:v>
                </c:pt>
              </c:strCache>
            </c:strRef>
          </c:tx>
          <c:spPr>
            <a:solidFill>
              <a:srgbClr val="996633">
                <a:alpha val="49804"/>
              </a:srgbClr>
            </a:solidFill>
            <a:ln w="25400"/>
          </c:spPr>
          <c:invertIfNegative val="0"/>
          <c:xVal>
            <c:numRef>
              <c:f>'Мособлдума одномандатный №13'!$O$2:$O$183</c:f>
              <c:numCache>
                <c:formatCode>0.0</c:formatCode>
                <c:ptCount val="25"/>
                <c:pt idx="0">
                  <c:v>44.890873015873019</c:v>
                </c:pt>
                <c:pt idx="1">
                  <c:v>30.472103004291846</c:v>
                </c:pt>
                <c:pt idx="2">
                  <c:v>38.564542046063202</c:v>
                </c:pt>
                <c:pt idx="3">
                  <c:v>33.989870568373661</c:v>
                </c:pt>
                <c:pt idx="4">
                  <c:v>38.18019625334523</c:v>
                </c:pt>
                <c:pt idx="5">
                  <c:v>29.424877396344183</c:v>
                </c:pt>
                <c:pt idx="6">
                  <c:v>38.431061806656103</c:v>
                </c:pt>
                <c:pt idx="7">
                  <c:v>60.397830018083184</c:v>
                </c:pt>
                <c:pt idx="8">
                  <c:v>40.557939914163093</c:v>
                </c:pt>
                <c:pt idx="9">
                  <c:v>33.15965761071827</c:v>
                </c:pt>
                <c:pt idx="10">
                  <c:v>33.262350936967636</c:v>
                </c:pt>
                <c:pt idx="11">
                  <c:v>66.638690725975664</c:v>
                </c:pt>
                <c:pt idx="12">
                  <c:v>75.91463414634147</c:v>
                </c:pt>
                <c:pt idx="13">
                  <c:v>63.553530751708429</c:v>
                </c:pt>
                <c:pt idx="14">
                  <c:v>38.032581453634087</c:v>
                </c:pt>
                <c:pt idx="15">
                  <c:v>46.834625322997418</c:v>
                </c:pt>
                <c:pt idx="16">
                  <c:v>54.770477047704773</c:v>
                </c:pt>
                <c:pt idx="17">
                  <c:v>39.83050847457627</c:v>
                </c:pt>
                <c:pt idx="18">
                  <c:v>36.756756756756758</c:v>
                </c:pt>
                <c:pt idx="19">
                  <c:v>41.573033707865171</c:v>
                </c:pt>
                <c:pt idx="20">
                  <c:v>77.949709864603477</c:v>
                </c:pt>
                <c:pt idx="21">
                  <c:v>63.985148514851488</c:v>
                </c:pt>
                <c:pt idx="22">
                  <c:v>65.171137835337646</c:v>
                </c:pt>
                <c:pt idx="23">
                  <c:v>56.747967479674799</c:v>
                </c:pt>
                <c:pt idx="24">
                  <c:v>54.05105438401776</c:v>
                </c:pt>
              </c:numCache>
            </c:numRef>
          </c:xVal>
          <c:yVal>
            <c:numRef>
              <c:f>'Мособлдума одномандатный №13'!$AD$2:$AD$183</c:f>
              <c:numCache>
                <c:formatCode>0.0</c:formatCode>
                <c:ptCount val="25"/>
                <c:pt idx="0">
                  <c:v>8.0662983425414367</c:v>
                </c:pt>
                <c:pt idx="1">
                  <c:v>8.3569405099150149</c:v>
                </c:pt>
                <c:pt idx="2">
                  <c:v>10.863509749303621</c:v>
                </c:pt>
                <c:pt idx="3">
                  <c:v>8.443708609271523</c:v>
                </c:pt>
                <c:pt idx="4">
                  <c:v>10.747663551401869</c:v>
                </c:pt>
                <c:pt idx="5">
                  <c:v>8.3333333333333339</c:v>
                </c:pt>
                <c:pt idx="6">
                  <c:v>5.7971014492753623</c:v>
                </c:pt>
                <c:pt idx="7">
                  <c:v>8.9820359281437128</c:v>
                </c:pt>
                <c:pt idx="8">
                  <c:v>4.4973544973544977</c:v>
                </c:pt>
                <c:pt idx="9">
                  <c:v>9.8765432098765427</c:v>
                </c:pt>
                <c:pt idx="10">
                  <c:v>10.064516129032258</c:v>
                </c:pt>
                <c:pt idx="11">
                  <c:v>3.0856423173803527</c:v>
                </c:pt>
                <c:pt idx="12">
                  <c:v>2.9490616621983916</c:v>
                </c:pt>
                <c:pt idx="13">
                  <c:v>7.8853046594982077</c:v>
                </c:pt>
                <c:pt idx="14">
                  <c:v>10.049423393739703</c:v>
                </c:pt>
                <c:pt idx="15">
                  <c:v>8.2758620689655178</c:v>
                </c:pt>
                <c:pt idx="16">
                  <c:v>6.25</c:v>
                </c:pt>
                <c:pt idx="17">
                  <c:v>9.8404255319148941</c:v>
                </c:pt>
                <c:pt idx="18">
                  <c:v>9.656301145662848</c:v>
                </c:pt>
                <c:pt idx="19">
                  <c:v>8.5348506401137971</c:v>
                </c:pt>
                <c:pt idx="20">
                  <c:v>5.2109181141439205</c:v>
                </c:pt>
                <c:pt idx="21">
                  <c:v>3.9329464861379755</c:v>
                </c:pt>
                <c:pt idx="22">
                  <c:v>6.7519545131485428</c:v>
                </c:pt>
                <c:pt idx="23">
                  <c:v>8.595988538681949</c:v>
                </c:pt>
                <c:pt idx="24">
                  <c:v>0.20533880903490759</c:v>
                </c:pt>
              </c:numCache>
            </c:numRef>
          </c:yVal>
          <c:bubbleSize>
            <c:numRef>
              <c:f>'Мособлдума одномандатный №13'!$J$2:$J$183</c:f>
              <c:numCache>
                <c:formatCode>General</c:formatCode>
                <c:ptCount val="25"/>
                <c:pt idx="0">
                  <c:v>2016</c:v>
                </c:pt>
                <c:pt idx="1">
                  <c:v>2330</c:v>
                </c:pt>
                <c:pt idx="2">
                  <c:v>1867</c:v>
                </c:pt>
                <c:pt idx="3">
                  <c:v>1777</c:v>
                </c:pt>
                <c:pt idx="4">
                  <c:v>1121</c:v>
                </c:pt>
                <c:pt idx="5">
                  <c:v>2243</c:v>
                </c:pt>
                <c:pt idx="6">
                  <c:v>1262</c:v>
                </c:pt>
                <c:pt idx="7">
                  <c:v>553</c:v>
                </c:pt>
                <c:pt idx="8">
                  <c:v>932</c:v>
                </c:pt>
                <c:pt idx="9">
                  <c:v>2687</c:v>
                </c:pt>
                <c:pt idx="10">
                  <c:v>2348</c:v>
                </c:pt>
                <c:pt idx="11">
                  <c:v>2383</c:v>
                </c:pt>
                <c:pt idx="12">
                  <c:v>984</c:v>
                </c:pt>
                <c:pt idx="13">
                  <c:v>439</c:v>
                </c:pt>
                <c:pt idx="14">
                  <c:v>1596</c:v>
                </c:pt>
                <c:pt idx="15">
                  <c:v>1548</c:v>
                </c:pt>
                <c:pt idx="16">
                  <c:v>2222</c:v>
                </c:pt>
                <c:pt idx="17">
                  <c:v>1888</c:v>
                </c:pt>
                <c:pt idx="18">
                  <c:v>1665</c:v>
                </c:pt>
                <c:pt idx="19">
                  <c:v>1691</c:v>
                </c:pt>
                <c:pt idx="20">
                  <c:v>517</c:v>
                </c:pt>
                <c:pt idx="21">
                  <c:v>2424</c:v>
                </c:pt>
                <c:pt idx="22">
                  <c:v>2162</c:v>
                </c:pt>
                <c:pt idx="23">
                  <c:v>1230</c:v>
                </c:pt>
                <c:pt idx="24">
                  <c:v>901</c:v>
                </c:pt>
              </c:numCache>
            </c:numRef>
          </c:bubbleSize>
          <c:bubble3D val="0"/>
          <c:extLst>
            <c:ext xmlns:c16="http://schemas.microsoft.com/office/drawing/2014/chart" uri="{C3380CC4-5D6E-409C-BE32-E72D297353CC}">
              <c16:uniqueId val="{00000001-D988-451C-AFB8-1B4BE27C9DF7}"/>
            </c:ext>
          </c:extLst>
        </c:ser>
        <c:ser>
          <c:idx val="10"/>
          <c:order val="2"/>
          <c:tx>
            <c:strRef>
              <c:f>'Мособлдума одномандатный №13'!$AF$1</c:f>
              <c:strCache>
                <c:ptCount val="1"/>
                <c:pt idx="0">
                  <c:v>Марушкин (СР)</c:v>
                </c:pt>
              </c:strCache>
            </c:strRef>
          </c:tx>
          <c:spPr>
            <a:solidFill>
              <a:srgbClr val="6666FF">
                <a:alpha val="49804"/>
              </a:srgbClr>
            </a:solidFill>
            <a:ln w="25400">
              <a:noFill/>
            </a:ln>
            <a:effectLst/>
          </c:spPr>
          <c:invertIfNegative val="0"/>
          <c:xVal>
            <c:numRef>
              <c:f>'Мособлдума одномандатный №13'!$O$2:$O$183</c:f>
              <c:numCache>
                <c:formatCode>0.0</c:formatCode>
                <c:ptCount val="25"/>
                <c:pt idx="0">
                  <c:v>44.890873015873019</c:v>
                </c:pt>
                <c:pt idx="1">
                  <c:v>30.472103004291846</c:v>
                </c:pt>
                <c:pt idx="2">
                  <c:v>38.564542046063202</c:v>
                </c:pt>
                <c:pt idx="3">
                  <c:v>33.989870568373661</c:v>
                </c:pt>
                <c:pt idx="4">
                  <c:v>38.18019625334523</c:v>
                </c:pt>
                <c:pt idx="5">
                  <c:v>29.424877396344183</c:v>
                </c:pt>
                <c:pt idx="6">
                  <c:v>38.431061806656103</c:v>
                </c:pt>
                <c:pt idx="7">
                  <c:v>60.397830018083184</c:v>
                </c:pt>
                <c:pt idx="8">
                  <c:v>40.557939914163093</c:v>
                </c:pt>
                <c:pt idx="9">
                  <c:v>33.15965761071827</c:v>
                </c:pt>
                <c:pt idx="10">
                  <c:v>33.262350936967636</c:v>
                </c:pt>
                <c:pt idx="11">
                  <c:v>66.638690725975664</c:v>
                </c:pt>
                <c:pt idx="12">
                  <c:v>75.91463414634147</c:v>
                </c:pt>
                <c:pt idx="13">
                  <c:v>63.553530751708429</c:v>
                </c:pt>
                <c:pt idx="14">
                  <c:v>38.032581453634087</c:v>
                </c:pt>
                <c:pt idx="15">
                  <c:v>46.834625322997418</c:v>
                </c:pt>
                <c:pt idx="16">
                  <c:v>54.770477047704773</c:v>
                </c:pt>
                <c:pt idx="17">
                  <c:v>39.83050847457627</c:v>
                </c:pt>
                <c:pt idx="18">
                  <c:v>36.756756756756758</c:v>
                </c:pt>
                <c:pt idx="19">
                  <c:v>41.573033707865171</c:v>
                </c:pt>
                <c:pt idx="20">
                  <c:v>77.949709864603477</c:v>
                </c:pt>
                <c:pt idx="21">
                  <c:v>63.985148514851488</c:v>
                </c:pt>
                <c:pt idx="22">
                  <c:v>65.171137835337646</c:v>
                </c:pt>
                <c:pt idx="23">
                  <c:v>56.747967479674799</c:v>
                </c:pt>
                <c:pt idx="24">
                  <c:v>54.05105438401776</c:v>
                </c:pt>
              </c:numCache>
            </c:numRef>
          </c:xVal>
          <c:yVal>
            <c:numRef>
              <c:f>'Мособлдума одномандатный №13'!$AF$2:$AF$183</c:f>
              <c:numCache>
                <c:formatCode>0.0</c:formatCode>
                <c:ptCount val="25"/>
                <c:pt idx="0">
                  <c:v>13.701657458563536</c:v>
                </c:pt>
                <c:pt idx="1">
                  <c:v>11.898016997167138</c:v>
                </c:pt>
                <c:pt idx="2">
                  <c:v>11.420612813370473</c:v>
                </c:pt>
                <c:pt idx="3">
                  <c:v>14.403973509933774</c:v>
                </c:pt>
                <c:pt idx="4">
                  <c:v>15.186915887850468</c:v>
                </c:pt>
                <c:pt idx="5">
                  <c:v>13.333333333333334</c:v>
                </c:pt>
                <c:pt idx="6">
                  <c:v>10.559006211180124</c:v>
                </c:pt>
                <c:pt idx="7">
                  <c:v>16.467065868263472</c:v>
                </c:pt>
                <c:pt idx="8">
                  <c:v>11.640211640211641</c:v>
                </c:pt>
                <c:pt idx="9">
                  <c:v>10.549943883277217</c:v>
                </c:pt>
                <c:pt idx="10">
                  <c:v>14.064516129032258</c:v>
                </c:pt>
                <c:pt idx="11">
                  <c:v>5.1637279596977326</c:v>
                </c:pt>
                <c:pt idx="12">
                  <c:v>3.7533512064343162</c:v>
                </c:pt>
                <c:pt idx="13">
                  <c:v>8.9605734767025087</c:v>
                </c:pt>
                <c:pt idx="14">
                  <c:v>13.014827018121911</c:v>
                </c:pt>
                <c:pt idx="15">
                  <c:v>10.758620689655173</c:v>
                </c:pt>
                <c:pt idx="16">
                  <c:v>9.75</c:v>
                </c:pt>
                <c:pt idx="17">
                  <c:v>8.6436170212765955</c:v>
                </c:pt>
                <c:pt idx="18">
                  <c:v>14.075286415711947</c:v>
                </c:pt>
                <c:pt idx="19">
                  <c:v>11.522048364153628</c:v>
                </c:pt>
                <c:pt idx="20">
                  <c:v>9.67741935483871</c:v>
                </c:pt>
                <c:pt idx="21">
                  <c:v>4.7711154094132819</c:v>
                </c:pt>
                <c:pt idx="22">
                  <c:v>6.6098081023454158</c:v>
                </c:pt>
                <c:pt idx="23">
                  <c:v>10.02865329512894</c:v>
                </c:pt>
                <c:pt idx="24">
                  <c:v>3.6960985626283369</c:v>
                </c:pt>
              </c:numCache>
            </c:numRef>
          </c:yVal>
          <c:bubbleSize>
            <c:numRef>
              <c:f>'Мособлдума одномандатный №13'!$J$2:$J$183</c:f>
              <c:numCache>
                <c:formatCode>General</c:formatCode>
                <c:ptCount val="25"/>
                <c:pt idx="0">
                  <c:v>2016</c:v>
                </c:pt>
                <c:pt idx="1">
                  <c:v>2330</c:v>
                </c:pt>
                <c:pt idx="2">
                  <c:v>1867</c:v>
                </c:pt>
                <c:pt idx="3">
                  <c:v>1777</c:v>
                </c:pt>
                <c:pt idx="4">
                  <c:v>1121</c:v>
                </c:pt>
                <c:pt idx="5">
                  <c:v>2243</c:v>
                </c:pt>
                <c:pt idx="6">
                  <c:v>1262</c:v>
                </c:pt>
                <c:pt idx="7">
                  <c:v>553</c:v>
                </c:pt>
                <c:pt idx="8">
                  <c:v>932</c:v>
                </c:pt>
                <c:pt idx="9">
                  <c:v>2687</c:v>
                </c:pt>
                <c:pt idx="10">
                  <c:v>2348</c:v>
                </c:pt>
                <c:pt idx="11">
                  <c:v>2383</c:v>
                </c:pt>
                <c:pt idx="12">
                  <c:v>984</c:v>
                </c:pt>
                <c:pt idx="13">
                  <c:v>439</c:v>
                </c:pt>
                <c:pt idx="14">
                  <c:v>1596</c:v>
                </c:pt>
                <c:pt idx="15">
                  <c:v>1548</c:v>
                </c:pt>
                <c:pt idx="16">
                  <c:v>2222</c:v>
                </c:pt>
                <c:pt idx="17">
                  <c:v>1888</c:v>
                </c:pt>
                <c:pt idx="18">
                  <c:v>1665</c:v>
                </c:pt>
                <c:pt idx="19">
                  <c:v>1691</c:v>
                </c:pt>
                <c:pt idx="20">
                  <c:v>517</c:v>
                </c:pt>
                <c:pt idx="21">
                  <c:v>2424</c:v>
                </c:pt>
                <c:pt idx="22">
                  <c:v>2162</c:v>
                </c:pt>
                <c:pt idx="23">
                  <c:v>1230</c:v>
                </c:pt>
                <c:pt idx="24">
                  <c:v>901</c:v>
                </c:pt>
              </c:numCache>
            </c:numRef>
          </c:bubbleSize>
          <c:bubble3D val="0"/>
          <c:extLst>
            <c:ext xmlns:c16="http://schemas.microsoft.com/office/drawing/2014/chart" uri="{C3380CC4-5D6E-409C-BE32-E72D297353CC}">
              <c16:uniqueId val="{00000002-D988-451C-AFB8-1B4BE27C9DF7}"/>
            </c:ext>
          </c:extLst>
        </c:ser>
        <c:ser>
          <c:idx val="11"/>
          <c:order val="3"/>
          <c:tx>
            <c:strRef>
              <c:f>'Мособлдума одномандатный №13'!$AH$1</c:f>
              <c:strCache>
                <c:ptCount val="1"/>
                <c:pt idx="0">
                  <c:v>Павлова (Яблоко)</c:v>
                </c:pt>
              </c:strCache>
            </c:strRef>
          </c:tx>
          <c:spPr>
            <a:solidFill>
              <a:srgbClr val="FF00FF">
                <a:alpha val="49804"/>
              </a:srgbClr>
            </a:solidFill>
            <a:ln w="25400">
              <a:noFill/>
            </a:ln>
            <a:effectLst/>
          </c:spPr>
          <c:invertIfNegative val="0"/>
          <c:xVal>
            <c:numRef>
              <c:f>'Мособлдума одномандатный №13'!$O$2:$O$183</c:f>
              <c:numCache>
                <c:formatCode>0.0</c:formatCode>
                <c:ptCount val="25"/>
                <c:pt idx="0">
                  <c:v>44.890873015873019</c:v>
                </c:pt>
                <c:pt idx="1">
                  <c:v>30.472103004291846</c:v>
                </c:pt>
                <c:pt idx="2">
                  <c:v>38.564542046063202</c:v>
                </c:pt>
                <c:pt idx="3">
                  <c:v>33.989870568373661</c:v>
                </c:pt>
                <c:pt idx="4">
                  <c:v>38.18019625334523</c:v>
                </c:pt>
                <c:pt idx="5">
                  <c:v>29.424877396344183</c:v>
                </c:pt>
                <c:pt idx="6">
                  <c:v>38.431061806656103</c:v>
                </c:pt>
                <c:pt idx="7">
                  <c:v>60.397830018083184</c:v>
                </c:pt>
                <c:pt idx="8">
                  <c:v>40.557939914163093</c:v>
                </c:pt>
                <c:pt idx="9">
                  <c:v>33.15965761071827</c:v>
                </c:pt>
                <c:pt idx="10">
                  <c:v>33.262350936967636</c:v>
                </c:pt>
                <c:pt idx="11">
                  <c:v>66.638690725975664</c:v>
                </c:pt>
                <c:pt idx="12">
                  <c:v>75.91463414634147</c:v>
                </c:pt>
                <c:pt idx="13">
                  <c:v>63.553530751708429</c:v>
                </c:pt>
                <c:pt idx="14">
                  <c:v>38.032581453634087</c:v>
                </c:pt>
                <c:pt idx="15">
                  <c:v>46.834625322997418</c:v>
                </c:pt>
                <c:pt idx="16">
                  <c:v>54.770477047704773</c:v>
                </c:pt>
                <c:pt idx="17">
                  <c:v>39.83050847457627</c:v>
                </c:pt>
                <c:pt idx="18">
                  <c:v>36.756756756756758</c:v>
                </c:pt>
                <c:pt idx="19">
                  <c:v>41.573033707865171</c:v>
                </c:pt>
                <c:pt idx="20">
                  <c:v>77.949709864603477</c:v>
                </c:pt>
                <c:pt idx="21">
                  <c:v>63.985148514851488</c:v>
                </c:pt>
                <c:pt idx="22">
                  <c:v>65.171137835337646</c:v>
                </c:pt>
                <c:pt idx="23">
                  <c:v>56.747967479674799</c:v>
                </c:pt>
                <c:pt idx="24">
                  <c:v>54.05105438401776</c:v>
                </c:pt>
              </c:numCache>
            </c:numRef>
          </c:xVal>
          <c:yVal>
            <c:numRef>
              <c:f>'Мособлдума одномандатный №13'!$AH$2:$AH$183</c:f>
              <c:numCache>
                <c:formatCode>0.0</c:formatCode>
                <c:ptCount val="25"/>
                <c:pt idx="0">
                  <c:v>7.403314917127072</c:v>
                </c:pt>
                <c:pt idx="1">
                  <c:v>6.6572237960339944</c:v>
                </c:pt>
                <c:pt idx="2">
                  <c:v>10.584958217270195</c:v>
                </c:pt>
                <c:pt idx="3">
                  <c:v>8.9403973509933774</c:v>
                </c:pt>
                <c:pt idx="4">
                  <c:v>8.878504672897197</c:v>
                </c:pt>
                <c:pt idx="5">
                  <c:v>10.757575757575758</c:v>
                </c:pt>
                <c:pt idx="6">
                  <c:v>8.4886128364389233</c:v>
                </c:pt>
                <c:pt idx="7">
                  <c:v>7.1856287425149699</c:v>
                </c:pt>
                <c:pt idx="8">
                  <c:v>4.4973544973544977</c:v>
                </c:pt>
                <c:pt idx="9">
                  <c:v>15.151515151515152</c:v>
                </c:pt>
                <c:pt idx="10">
                  <c:v>9.5483870967741939</c:v>
                </c:pt>
                <c:pt idx="11">
                  <c:v>4.2821158690176322</c:v>
                </c:pt>
                <c:pt idx="12">
                  <c:v>3.6193029490616624</c:v>
                </c:pt>
                <c:pt idx="13">
                  <c:v>5.376344086021505</c:v>
                </c:pt>
                <c:pt idx="14">
                  <c:v>9.3904448105436575</c:v>
                </c:pt>
                <c:pt idx="15">
                  <c:v>9.1034482758620694</c:v>
                </c:pt>
                <c:pt idx="16">
                  <c:v>5.5</c:v>
                </c:pt>
                <c:pt idx="17">
                  <c:v>5.7180851063829783</c:v>
                </c:pt>
                <c:pt idx="18">
                  <c:v>9.4926350245499176</c:v>
                </c:pt>
                <c:pt idx="19">
                  <c:v>8.5348506401137971</c:v>
                </c:pt>
                <c:pt idx="20">
                  <c:v>2.7295285359801489</c:v>
                </c:pt>
                <c:pt idx="21">
                  <c:v>3.8684719535783367</c:v>
                </c:pt>
                <c:pt idx="22">
                  <c:v>6.1833688699360341</c:v>
                </c:pt>
                <c:pt idx="23">
                  <c:v>5.5873925501432664</c:v>
                </c:pt>
                <c:pt idx="24">
                  <c:v>4.9281314168377826</c:v>
                </c:pt>
              </c:numCache>
            </c:numRef>
          </c:yVal>
          <c:bubbleSize>
            <c:numRef>
              <c:f>'Мособлдума одномандатный №13'!$J$2:$J$183</c:f>
              <c:numCache>
                <c:formatCode>General</c:formatCode>
                <c:ptCount val="25"/>
                <c:pt idx="0">
                  <c:v>2016</c:v>
                </c:pt>
                <c:pt idx="1">
                  <c:v>2330</c:v>
                </c:pt>
                <c:pt idx="2">
                  <c:v>1867</c:v>
                </c:pt>
                <c:pt idx="3">
                  <c:v>1777</c:v>
                </c:pt>
                <c:pt idx="4">
                  <c:v>1121</c:v>
                </c:pt>
                <c:pt idx="5">
                  <c:v>2243</c:v>
                </c:pt>
                <c:pt idx="6">
                  <c:v>1262</c:v>
                </c:pt>
                <c:pt idx="7">
                  <c:v>553</c:v>
                </c:pt>
                <c:pt idx="8">
                  <c:v>932</c:v>
                </c:pt>
                <c:pt idx="9">
                  <c:v>2687</c:v>
                </c:pt>
                <c:pt idx="10">
                  <c:v>2348</c:v>
                </c:pt>
                <c:pt idx="11">
                  <c:v>2383</c:v>
                </c:pt>
                <c:pt idx="12">
                  <c:v>984</c:v>
                </c:pt>
                <c:pt idx="13">
                  <c:v>439</c:v>
                </c:pt>
                <c:pt idx="14">
                  <c:v>1596</c:v>
                </c:pt>
                <c:pt idx="15">
                  <c:v>1548</c:v>
                </c:pt>
                <c:pt idx="16">
                  <c:v>2222</c:v>
                </c:pt>
                <c:pt idx="17">
                  <c:v>1888</c:v>
                </c:pt>
                <c:pt idx="18">
                  <c:v>1665</c:v>
                </c:pt>
                <c:pt idx="19">
                  <c:v>1691</c:v>
                </c:pt>
                <c:pt idx="20">
                  <c:v>517</c:v>
                </c:pt>
                <c:pt idx="21">
                  <c:v>2424</c:v>
                </c:pt>
                <c:pt idx="22">
                  <c:v>2162</c:v>
                </c:pt>
                <c:pt idx="23">
                  <c:v>1230</c:v>
                </c:pt>
                <c:pt idx="24">
                  <c:v>901</c:v>
                </c:pt>
              </c:numCache>
            </c:numRef>
          </c:bubbleSize>
          <c:bubble3D val="0"/>
          <c:extLst>
            <c:ext xmlns:c16="http://schemas.microsoft.com/office/drawing/2014/chart" uri="{C3380CC4-5D6E-409C-BE32-E72D297353CC}">
              <c16:uniqueId val="{00000003-D988-451C-AFB8-1B4BE27C9DF7}"/>
            </c:ext>
          </c:extLst>
        </c:ser>
        <c:ser>
          <c:idx val="12"/>
          <c:order val="4"/>
          <c:tx>
            <c:strRef>
              <c:f>'Мособлдума одномандатный №13'!$AJ$1</c:f>
              <c:strCache>
                <c:ptCount val="1"/>
                <c:pt idx="0">
                  <c:v>Пархоменко (ЛДПР)</c:v>
                </c:pt>
              </c:strCache>
            </c:strRef>
          </c:tx>
          <c:spPr>
            <a:solidFill>
              <a:srgbClr val="FF9900">
                <a:alpha val="49804"/>
              </a:srgbClr>
            </a:solidFill>
            <a:ln w="25400">
              <a:noFill/>
            </a:ln>
          </c:spPr>
          <c:invertIfNegative val="0"/>
          <c:xVal>
            <c:numRef>
              <c:f>'Мособлдума одномандатный №13'!$O$2:$O$183</c:f>
              <c:numCache>
                <c:formatCode>0.0</c:formatCode>
                <c:ptCount val="25"/>
                <c:pt idx="0">
                  <c:v>44.890873015873019</c:v>
                </c:pt>
                <c:pt idx="1">
                  <c:v>30.472103004291846</c:v>
                </c:pt>
                <c:pt idx="2">
                  <c:v>38.564542046063202</c:v>
                </c:pt>
                <c:pt idx="3">
                  <c:v>33.989870568373661</c:v>
                </c:pt>
                <c:pt idx="4">
                  <c:v>38.18019625334523</c:v>
                </c:pt>
                <c:pt idx="5">
                  <c:v>29.424877396344183</c:v>
                </c:pt>
                <c:pt idx="6">
                  <c:v>38.431061806656103</c:v>
                </c:pt>
                <c:pt idx="7">
                  <c:v>60.397830018083184</c:v>
                </c:pt>
                <c:pt idx="8">
                  <c:v>40.557939914163093</c:v>
                </c:pt>
                <c:pt idx="9">
                  <c:v>33.15965761071827</c:v>
                </c:pt>
                <c:pt idx="10">
                  <c:v>33.262350936967636</c:v>
                </c:pt>
                <c:pt idx="11">
                  <c:v>66.638690725975664</c:v>
                </c:pt>
                <c:pt idx="12">
                  <c:v>75.91463414634147</c:v>
                </c:pt>
                <c:pt idx="13">
                  <c:v>63.553530751708429</c:v>
                </c:pt>
                <c:pt idx="14">
                  <c:v>38.032581453634087</c:v>
                </c:pt>
                <c:pt idx="15">
                  <c:v>46.834625322997418</c:v>
                </c:pt>
                <c:pt idx="16">
                  <c:v>54.770477047704773</c:v>
                </c:pt>
                <c:pt idx="17">
                  <c:v>39.83050847457627</c:v>
                </c:pt>
                <c:pt idx="18">
                  <c:v>36.756756756756758</c:v>
                </c:pt>
                <c:pt idx="19">
                  <c:v>41.573033707865171</c:v>
                </c:pt>
                <c:pt idx="20">
                  <c:v>77.949709864603477</c:v>
                </c:pt>
                <c:pt idx="21">
                  <c:v>63.985148514851488</c:v>
                </c:pt>
                <c:pt idx="22">
                  <c:v>65.171137835337646</c:v>
                </c:pt>
                <c:pt idx="23">
                  <c:v>56.747967479674799</c:v>
                </c:pt>
                <c:pt idx="24">
                  <c:v>54.05105438401776</c:v>
                </c:pt>
              </c:numCache>
            </c:numRef>
          </c:xVal>
          <c:yVal>
            <c:numRef>
              <c:f>'Мособлдума одномандатный №13'!$AJ$2:$AJ$183</c:f>
              <c:numCache>
                <c:formatCode>0.0</c:formatCode>
                <c:ptCount val="25"/>
                <c:pt idx="0">
                  <c:v>7.9558011049723758</c:v>
                </c:pt>
                <c:pt idx="1">
                  <c:v>7.2237960339943346</c:v>
                </c:pt>
                <c:pt idx="2">
                  <c:v>6.8245125348189415</c:v>
                </c:pt>
                <c:pt idx="3">
                  <c:v>5.9602649006622519</c:v>
                </c:pt>
                <c:pt idx="4">
                  <c:v>7.2429906542056077</c:v>
                </c:pt>
                <c:pt idx="5">
                  <c:v>7.7272727272727275</c:v>
                </c:pt>
                <c:pt idx="6">
                  <c:v>5.7971014492753623</c:v>
                </c:pt>
                <c:pt idx="7">
                  <c:v>6.88622754491018</c:v>
                </c:pt>
                <c:pt idx="8">
                  <c:v>4.2328042328042326</c:v>
                </c:pt>
                <c:pt idx="9">
                  <c:v>6.6217732884399547</c:v>
                </c:pt>
                <c:pt idx="10">
                  <c:v>6.193548387096774</c:v>
                </c:pt>
                <c:pt idx="11">
                  <c:v>3.6523929471032748</c:v>
                </c:pt>
                <c:pt idx="12">
                  <c:v>3.8873994638069704</c:v>
                </c:pt>
                <c:pt idx="13">
                  <c:v>6.0931899641577063</c:v>
                </c:pt>
                <c:pt idx="14">
                  <c:v>10.873146622734762</c:v>
                </c:pt>
                <c:pt idx="15">
                  <c:v>8</c:v>
                </c:pt>
                <c:pt idx="16">
                  <c:v>6.333333333333333</c:v>
                </c:pt>
                <c:pt idx="17">
                  <c:v>7.5797872340425529</c:v>
                </c:pt>
                <c:pt idx="18">
                  <c:v>8.5106382978723403</c:v>
                </c:pt>
                <c:pt idx="19">
                  <c:v>8.8193456614509245</c:v>
                </c:pt>
                <c:pt idx="20">
                  <c:v>4.9627791563275432</c:v>
                </c:pt>
                <c:pt idx="21">
                  <c:v>4.1263700838168926</c:v>
                </c:pt>
                <c:pt idx="22">
                  <c:v>7.4626865671641793</c:v>
                </c:pt>
                <c:pt idx="23">
                  <c:v>9.1690544412607444</c:v>
                </c:pt>
                <c:pt idx="24">
                  <c:v>4.1067761806981515</c:v>
                </c:pt>
              </c:numCache>
            </c:numRef>
          </c:yVal>
          <c:bubbleSize>
            <c:numRef>
              <c:f>'Мособлдума одномандатный №13'!$J$2:$J$183</c:f>
              <c:numCache>
                <c:formatCode>General</c:formatCode>
                <c:ptCount val="25"/>
                <c:pt idx="0">
                  <c:v>2016</c:v>
                </c:pt>
                <c:pt idx="1">
                  <c:v>2330</c:v>
                </c:pt>
                <c:pt idx="2">
                  <c:v>1867</c:v>
                </c:pt>
                <c:pt idx="3">
                  <c:v>1777</c:v>
                </c:pt>
                <c:pt idx="4">
                  <c:v>1121</c:v>
                </c:pt>
                <c:pt idx="5">
                  <c:v>2243</c:v>
                </c:pt>
                <c:pt idx="6">
                  <c:v>1262</c:v>
                </c:pt>
                <c:pt idx="7">
                  <c:v>553</c:v>
                </c:pt>
                <c:pt idx="8">
                  <c:v>932</c:v>
                </c:pt>
                <c:pt idx="9">
                  <c:v>2687</c:v>
                </c:pt>
                <c:pt idx="10">
                  <c:v>2348</c:v>
                </c:pt>
                <c:pt idx="11">
                  <c:v>2383</c:v>
                </c:pt>
                <c:pt idx="12">
                  <c:v>984</c:v>
                </c:pt>
                <c:pt idx="13">
                  <c:v>439</c:v>
                </c:pt>
                <c:pt idx="14">
                  <c:v>1596</c:v>
                </c:pt>
                <c:pt idx="15">
                  <c:v>1548</c:v>
                </c:pt>
                <c:pt idx="16">
                  <c:v>2222</c:v>
                </c:pt>
                <c:pt idx="17">
                  <c:v>1888</c:v>
                </c:pt>
                <c:pt idx="18">
                  <c:v>1665</c:v>
                </c:pt>
                <c:pt idx="19">
                  <c:v>1691</c:v>
                </c:pt>
                <c:pt idx="20">
                  <c:v>517</c:v>
                </c:pt>
                <c:pt idx="21">
                  <c:v>2424</c:v>
                </c:pt>
                <c:pt idx="22">
                  <c:v>2162</c:v>
                </c:pt>
                <c:pt idx="23">
                  <c:v>1230</c:v>
                </c:pt>
                <c:pt idx="24">
                  <c:v>901</c:v>
                </c:pt>
              </c:numCache>
            </c:numRef>
          </c:bubbleSize>
          <c:bubble3D val="0"/>
          <c:extLst>
            <c:ext xmlns:c16="http://schemas.microsoft.com/office/drawing/2014/chart" uri="{C3380CC4-5D6E-409C-BE32-E72D297353CC}">
              <c16:uniqueId val="{00000004-D988-451C-AFB8-1B4BE27C9DF7}"/>
            </c:ext>
          </c:extLst>
        </c:ser>
        <c:ser>
          <c:idx val="13"/>
          <c:order val="5"/>
          <c:tx>
            <c:strRef>
              <c:f>'Мособлдума одномандатный №13'!$AL$1</c:f>
              <c:strCache>
                <c:ptCount val="1"/>
                <c:pt idx="0">
                  <c:v>Рожнов (Единая Россия)</c:v>
                </c:pt>
              </c:strCache>
            </c:strRef>
          </c:tx>
          <c:spPr>
            <a:solidFill>
              <a:srgbClr val="0000FF">
                <a:alpha val="49804"/>
              </a:srgbClr>
            </a:solidFill>
            <a:ln w="25400"/>
          </c:spPr>
          <c:invertIfNegative val="0"/>
          <c:xVal>
            <c:numRef>
              <c:f>'Мособлдума одномандатный №13'!$O$2:$O$183</c:f>
              <c:numCache>
                <c:formatCode>0.0</c:formatCode>
                <c:ptCount val="25"/>
                <c:pt idx="0">
                  <c:v>44.890873015873019</c:v>
                </c:pt>
                <c:pt idx="1">
                  <c:v>30.472103004291846</c:v>
                </c:pt>
                <c:pt idx="2">
                  <c:v>38.564542046063202</c:v>
                </c:pt>
                <c:pt idx="3">
                  <c:v>33.989870568373661</c:v>
                </c:pt>
                <c:pt idx="4">
                  <c:v>38.18019625334523</c:v>
                </c:pt>
                <c:pt idx="5">
                  <c:v>29.424877396344183</c:v>
                </c:pt>
                <c:pt idx="6">
                  <c:v>38.431061806656103</c:v>
                </c:pt>
                <c:pt idx="7">
                  <c:v>60.397830018083184</c:v>
                </c:pt>
                <c:pt idx="8">
                  <c:v>40.557939914163093</c:v>
                </c:pt>
                <c:pt idx="9">
                  <c:v>33.15965761071827</c:v>
                </c:pt>
                <c:pt idx="10">
                  <c:v>33.262350936967636</c:v>
                </c:pt>
                <c:pt idx="11">
                  <c:v>66.638690725975664</c:v>
                </c:pt>
                <c:pt idx="12">
                  <c:v>75.91463414634147</c:v>
                </c:pt>
                <c:pt idx="13">
                  <c:v>63.553530751708429</c:v>
                </c:pt>
                <c:pt idx="14">
                  <c:v>38.032581453634087</c:v>
                </c:pt>
                <c:pt idx="15">
                  <c:v>46.834625322997418</c:v>
                </c:pt>
                <c:pt idx="16">
                  <c:v>54.770477047704773</c:v>
                </c:pt>
                <c:pt idx="17">
                  <c:v>39.83050847457627</c:v>
                </c:pt>
                <c:pt idx="18">
                  <c:v>36.756756756756758</c:v>
                </c:pt>
                <c:pt idx="19">
                  <c:v>41.573033707865171</c:v>
                </c:pt>
                <c:pt idx="20">
                  <c:v>77.949709864603477</c:v>
                </c:pt>
                <c:pt idx="21">
                  <c:v>63.985148514851488</c:v>
                </c:pt>
                <c:pt idx="22">
                  <c:v>65.171137835337646</c:v>
                </c:pt>
                <c:pt idx="23">
                  <c:v>56.747967479674799</c:v>
                </c:pt>
                <c:pt idx="24">
                  <c:v>54.05105438401776</c:v>
                </c:pt>
              </c:numCache>
            </c:numRef>
          </c:xVal>
          <c:yVal>
            <c:numRef>
              <c:f>'Мособлдума одномандатный №13'!$AL$2:$AL$183</c:f>
              <c:numCache>
                <c:formatCode>0.0</c:formatCode>
                <c:ptCount val="25"/>
                <c:pt idx="0">
                  <c:v>33.591160220994475</c:v>
                </c:pt>
                <c:pt idx="1">
                  <c:v>32.152974504249293</c:v>
                </c:pt>
                <c:pt idx="2">
                  <c:v>28.551532033426184</c:v>
                </c:pt>
                <c:pt idx="3">
                  <c:v>27.483443708609272</c:v>
                </c:pt>
                <c:pt idx="4">
                  <c:v>26.401869158878505</c:v>
                </c:pt>
                <c:pt idx="5">
                  <c:v>23.636363636363637</c:v>
                </c:pt>
                <c:pt idx="6">
                  <c:v>48.033126293995856</c:v>
                </c:pt>
                <c:pt idx="7">
                  <c:v>30.838323353293415</c:v>
                </c:pt>
                <c:pt idx="8">
                  <c:v>61.904761904761905</c:v>
                </c:pt>
                <c:pt idx="9">
                  <c:v>21.661054994388326</c:v>
                </c:pt>
                <c:pt idx="10">
                  <c:v>20.129032258064516</c:v>
                </c:pt>
                <c:pt idx="11">
                  <c:v>68.450881612090683</c:v>
                </c:pt>
                <c:pt idx="12">
                  <c:v>78.954423592493299</c:v>
                </c:pt>
                <c:pt idx="13">
                  <c:v>52.688172043010752</c:v>
                </c:pt>
                <c:pt idx="14">
                  <c:v>24.87644151565074</c:v>
                </c:pt>
                <c:pt idx="15">
                  <c:v>34.758620689655174</c:v>
                </c:pt>
                <c:pt idx="16">
                  <c:v>44</c:v>
                </c:pt>
                <c:pt idx="17">
                  <c:v>40.957446808510639</c:v>
                </c:pt>
                <c:pt idx="18">
                  <c:v>25.204582651391163</c:v>
                </c:pt>
                <c:pt idx="19">
                  <c:v>25.177809388335703</c:v>
                </c:pt>
                <c:pt idx="20">
                  <c:v>42.183622828784117</c:v>
                </c:pt>
                <c:pt idx="21">
                  <c:v>67.827208252740164</c:v>
                </c:pt>
                <c:pt idx="22">
                  <c:v>61.478322672352526</c:v>
                </c:pt>
                <c:pt idx="23">
                  <c:v>37.965616045845273</c:v>
                </c:pt>
                <c:pt idx="24">
                  <c:v>73.511293634496923</c:v>
                </c:pt>
              </c:numCache>
            </c:numRef>
          </c:yVal>
          <c:bubbleSize>
            <c:numRef>
              <c:f>'Мособлдума одномандатный №13'!$J$2:$J$183</c:f>
              <c:numCache>
                <c:formatCode>General</c:formatCode>
                <c:ptCount val="25"/>
                <c:pt idx="0">
                  <c:v>2016</c:v>
                </c:pt>
                <c:pt idx="1">
                  <c:v>2330</c:v>
                </c:pt>
                <c:pt idx="2">
                  <c:v>1867</c:v>
                </c:pt>
                <c:pt idx="3">
                  <c:v>1777</c:v>
                </c:pt>
                <c:pt idx="4">
                  <c:v>1121</c:v>
                </c:pt>
                <c:pt idx="5">
                  <c:v>2243</c:v>
                </c:pt>
                <c:pt idx="6">
                  <c:v>1262</c:v>
                </c:pt>
                <c:pt idx="7">
                  <c:v>553</c:v>
                </c:pt>
                <c:pt idx="8">
                  <c:v>932</c:v>
                </c:pt>
                <c:pt idx="9">
                  <c:v>2687</c:v>
                </c:pt>
                <c:pt idx="10">
                  <c:v>2348</c:v>
                </c:pt>
                <c:pt idx="11">
                  <c:v>2383</c:v>
                </c:pt>
                <c:pt idx="12">
                  <c:v>984</c:v>
                </c:pt>
                <c:pt idx="13">
                  <c:v>439</c:v>
                </c:pt>
                <c:pt idx="14">
                  <c:v>1596</c:v>
                </c:pt>
                <c:pt idx="15">
                  <c:v>1548</c:v>
                </c:pt>
                <c:pt idx="16">
                  <c:v>2222</c:v>
                </c:pt>
                <c:pt idx="17">
                  <c:v>1888</c:v>
                </c:pt>
                <c:pt idx="18">
                  <c:v>1665</c:v>
                </c:pt>
                <c:pt idx="19">
                  <c:v>1691</c:v>
                </c:pt>
                <c:pt idx="20">
                  <c:v>517</c:v>
                </c:pt>
                <c:pt idx="21">
                  <c:v>2424</c:v>
                </c:pt>
                <c:pt idx="22">
                  <c:v>2162</c:v>
                </c:pt>
                <c:pt idx="23">
                  <c:v>1230</c:v>
                </c:pt>
                <c:pt idx="24">
                  <c:v>901</c:v>
                </c:pt>
              </c:numCache>
            </c:numRef>
          </c:bubbleSize>
          <c:bubble3D val="0"/>
          <c:extLst>
            <c:ext xmlns:c16="http://schemas.microsoft.com/office/drawing/2014/chart" uri="{C3380CC4-5D6E-409C-BE32-E72D297353CC}">
              <c16:uniqueId val="{00000005-D988-451C-AFB8-1B4BE27C9DF7}"/>
            </c:ext>
          </c:extLst>
        </c:ser>
        <c:ser>
          <c:idx val="0"/>
          <c:order val="6"/>
          <c:tx>
            <c:strRef>
              <c:f>'Мособлдума одномандатный №13'!$W$1</c:f>
              <c:strCache>
                <c:ptCount val="1"/>
                <c:pt idx="0">
                  <c:v>Недействительных</c:v>
                </c:pt>
              </c:strCache>
            </c:strRef>
          </c:tx>
          <c:spPr>
            <a:noFill/>
            <a:ln w="6350">
              <a:solidFill>
                <a:srgbClr val="000000"/>
              </a:solidFill>
            </a:ln>
          </c:spPr>
          <c:invertIfNegative val="0"/>
          <c:xVal>
            <c:numRef>
              <c:f>'Мособлдума одномандатный №13'!$O$2:$O$183</c:f>
              <c:numCache>
                <c:formatCode>0.0</c:formatCode>
                <c:ptCount val="25"/>
                <c:pt idx="0">
                  <c:v>44.890873015873019</c:v>
                </c:pt>
                <c:pt idx="1">
                  <c:v>30.472103004291846</c:v>
                </c:pt>
                <c:pt idx="2">
                  <c:v>38.564542046063202</c:v>
                </c:pt>
                <c:pt idx="3">
                  <c:v>33.989870568373661</c:v>
                </c:pt>
                <c:pt idx="4">
                  <c:v>38.18019625334523</c:v>
                </c:pt>
                <c:pt idx="5">
                  <c:v>29.424877396344183</c:v>
                </c:pt>
                <c:pt idx="6">
                  <c:v>38.431061806656103</c:v>
                </c:pt>
                <c:pt idx="7">
                  <c:v>60.397830018083184</c:v>
                </c:pt>
                <c:pt idx="8">
                  <c:v>40.557939914163093</c:v>
                </c:pt>
                <c:pt idx="9">
                  <c:v>33.15965761071827</c:v>
                </c:pt>
                <c:pt idx="10">
                  <c:v>33.262350936967636</c:v>
                </c:pt>
                <c:pt idx="11">
                  <c:v>66.638690725975664</c:v>
                </c:pt>
                <c:pt idx="12">
                  <c:v>75.91463414634147</c:v>
                </c:pt>
                <c:pt idx="13">
                  <c:v>63.553530751708429</c:v>
                </c:pt>
                <c:pt idx="14">
                  <c:v>38.032581453634087</c:v>
                </c:pt>
                <c:pt idx="15">
                  <c:v>46.834625322997418</c:v>
                </c:pt>
                <c:pt idx="16">
                  <c:v>54.770477047704773</c:v>
                </c:pt>
                <c:pt idx="17">
                  <c:v>39.83050847457627</c:v>
                </c:pt>
                <c:pt idx="18">
                  <c:v>36.756756756756758</c:v>
                </c:pt>
                <c:pt idx="19">
                  <c:v>41.573033707865171</c:v>
                </c:pt>
                <c:pt idx="20">
                  <c:v>77.949709864603477</c:v>
                </c:pt>
                <c:pt idx="21">
                  <c:v>63.985148514851488</c:v>
                </c:pt>
                <c:pt idx="22">
                  <c:v>65.171137835337646</c:v>
                </c:pt>
                <c:pt idx="23">
                  <c:v>56.747967479674799</c:v>
                </c:pt>
                <c:pt idx="24">
                  <c:v>54.05105438401776</c:v>
                </c:pt>
              </c:numCache>
            </c:numRef>
          </c:xVal>
          <c:yVal>
            <c:numRef>
              <c:f>'Мособлдума одномандатный №13'!$W$2:$W$183</c:f>
              <c:numCache>
                <c:formatCode>0.0</c:formatCode>
                <c:ptCount val="25"/>
                <c:pt idx="0">
                  <c:v>5.5248618784530388</c:v>
                </c:pt>
                <c:pt idx="1">
                  <c:v>8.640226628895185</c:v>
                </c:pt>
                <c:pt idx="2">
                  <c:v>8.2172701949860727</c:v>
                </c:pt>
                <c:pt idx="3">
                  <c:v>9.4370860927152318</c:v>
                </c:pt>
                <c:pt idx="4">
                  <c:v>4.6728971962616823</c:v>
                </c:pt>
                <c:pt idx="5">
                  <c:v>8.7878787878787872</c:v>
                </c:pt>
                <c:pt idx="6">
                  <c:v>3.3126293995859215</c:v>
                </c:pt>
                <c:pt idx="7">
                  <c:v>9.8802395209580833</c:v>
                </c:pt>
                <c:pt idx="8">
                  <c:v>0.52910052910052907</c:v>
                </c:pt>
                <c:pt idx="9">
                  <c:v>5.9483726150392817</c:v>
                </c:pt>
                <c:pt idx="10">
                  <c:v>9.1612903225806459</c:v>
                </c:pt>
                <c:pt idx="11">
                  <c:v>6.2342569269521411</c:v>
                </c:pt>
                <c:pt idx="12">
                  <c:v>2.8150134048257374</c:v>
                </c:pt>
                <c:pt idx="13">
                  <c:v>0</c:v>
                </c:pt>
                <c:pt idx="14">
                  <c:v>7.0840197693574956</c:v>
                </c:pt>
                <c:pt idx="15">
                  <c:v>5.2413793103448274</c:v>
                </c:pt>
                <c:pt idx="16">
                  <c:v>5.416666666666667</c:v>
                </c:pt>
                <c:pt idx="17">
                  <c:v>4.9202127659574471</c:v>
                </c:pt>
                <c:pt idx="18">
                  <c:v>7.0376432078559734</c:v>
                </c:pt>
                <c:pt idx="19">
                  <c:v>9.8150782361308675</c:v>
                </c:pt>
                <c:pt idx="20">
                  <c:v>2.2332506203473947</c:v>
                </c:pt>
                <c:pt idx="21">
                  <c:v>1.9987105093488071</c:v>
                </c:pt>
                <c:pt idx="22">
                  <c:v>1.5636105188343994</c:v>
                </c:pt>
                <c:pt idx="23">
                  <c:v>5.0143266475644701</c:v>
                </c:pt>
                <c:pt idx="24">
                  <c:v>1.8480492813141685</c:v>
                </c:pt>
              </c:numCache>
            </c:numRef>
          </c:yVal>
          <c:bubbleSize>
            <c:numRef>
              <c:f>'Мособлдума одномандатный №13'!$J$2:$J$183</c:f>
              <c:numCache>
                <c:formatCode>General</c:formatCode>
                <c:ptCount val="25"/>
                <c:pt idx="0">
                  <c:v>2016</c:v>
                </c:pt>
                <c:pt idx="1">
                  <c:v>2330</c:v>
                </c:pt>
                <c:pt idx="2">
                  <c:v>1867</c:v>
                </c:pt>
                <c:pt idx="3">
                  <c:v>1777</c:v>
                </c:pt>
                <c:pt idx="4">
                  <c:v>1121</c:v>
                </c:pt>
                <c:pt idx="5">
                  <c:v>2243</c:v>
                </c:pt>
                <c:pt idx="6">
                  <c:v>1262</c:v>
                </c:pt>
                <c:pt idx="7">
                  <c:v>553</c:v>
                </c:pt>
                <c:pt idx="8">
                  <c:v>932</c:v>
                </c:pt>
                <c:pt idx="9">
                  <c:v>2687</c:v>
                </c:pt>
                <c:pt idx="10">
                  <c:v>2348</c:v>
                </c:pt>
                <c:pt idx="11">
                  <c:v>2383</c:v>
                </c:pt>
                <c:pt idx="12">
                  <c:v>984</c:v>
                </c:pt>
                <c:pt idx="13">
                  <c:v>439</c:v>
                </c:pt>
                <c:pt idx="14">
                  <c:v>1596</c:v>
                </c:pt>
                <c:pt idx="15">
                  <c:v>1548</c:v>
                </c:pt>
                <c:pt idx="16">
                  <c:v>2222</c:v>
                </c:pt>
                <c:pt idx="17">
                  <c:v>1888</c:v>
                </c:pt>
                <c:pt idx="18">
                  <c:v>1665</c:v>
                </c:pt>
                <c:pt idx="19">
                  <c:v>1691</c:v>
                </c:pt>
                <c:pt idx="20">
                  <c:v>517</c:v>
                </c:pt>
                <c:pt idx="21">
                  <c:v>2424</c:v>
                </c:pt>
                <c:pt idx="22">
                  <c:v>2162</c:v>
                </c:pt>
                <c:pt idx="23">
                  <c:v>1230</c:v>
                </c:pt>
                <c:pt idx="24">
                  <c:v>901</c:v>
                </c:pt>
              </c:numCache>
            </c:numRef>
          </c:bubbleSize>
          <c:bubble3D val="0"/>
          <c:extLst>
            <c:ext xmlns:c16="http://schemas.microsoft.com/office/drawing/2014/chart" uri="{C3380CC4-5D6E-409C-BE32-E72D297353CC}">
              <c16:uniqueId val="{00000006-D988-451C-AFB8-1B4BE27C9DF7}"/>
            </c:ext>
          </c:extLst>
        </c:ser>
        <c:ser>
          <c:idx val="1"/>
          <c:order val="7"/>
          <c:tx>
            <c:strRef>
              <c:f>'Мособлдума одномандатный №13'!$U$1</c:f>
              <c:strCache>
                <c:ptCount val="1"/>
                <c:pt idx="0">
                  <c:v>Надомка</c:v>
                </c:pt>
              </c:strCache>
            </c:strRef>
          </c:tx>
          <c:spPr>
            <a:noFill/>
            <a:ln w="6350">
              <a:solidFill>
                <a:srgbClr val="000000"/>
              </a:solidFill>
              <a:prstDash val="sysDot"/>
            </a:ln>
          </c:spPr>
          <c:invertIfNegative val="0"/>
          <c:xVal>
            <c:numRef>
              <c:f>'Мособлдума одномандатный №13'!$O$2:$O$183</c:f>
              <c:numCache>
                <c:formatCode>0.0</c:formatCode>
                <c:ptCount val="25"/>
                <c:pt idx="0">
                  <c:v>44.890873015873019</c:v>
                </c:pt>
                <c:pt idx="1">
                  <c:v>30.472103004291846</c:v>
                </c:pt>
                <c:pt idx="2">
                  <c:v>38.564542046063202</c:v>
                </c:pt>
                <c:pt idx="3">
                  <c:v>33.989870568373661</c:v>
                </c:pt>
                <c:pt idx="4">
                  <c:v>38.18019625334523</c:v>
                </c:pt>
                <c:pt idx="5">
                  <c:v>29.424877396344183</c:v>
                </c:pt>
                <c:pt idx="6">
                  <c:v>38.431061806656103</c:v>
                </c:pt>
                <c:pt idx="7">
                  <c:v>60.397830018083184</c:v>
                </c:pt>
                <c:pt idx="8">
                  <c:v>40.557939914163093</c:v>
                </c:pt>
                <c:pt idx="9">
                  <c:v>33.15965761071827</c:v>
                </c:pt>
                <c:pt idx="10">
                  <c:v>33.262350936967636</c:v>
                </c:pt>
                <c:pt idx="11">
                  <c:v>66.638690725975664</c:v>
                </c:pt>
                <c:pt idx="12">
                  <c:v>75.91463414634147</c:v>
                </c:pt>
                <c:pt idx="13">
                  <c:v>63.553530751708429</c:v>
                </c:pt>
                <c:pt idx="14">
                  <c:v>38.032581453634087</c:v>
                </c:pt>
                <c:pt idx="15">
                  <c:v>46.834625322997418</c:v>
                </c:pt>
                <c:pt idx="16">
                  <c:v>54.770477047704773</c:v>
                </c:pt>
                <c:pt idx="17">
                  <c:v>39.83050847457627</c:v>
                </c:pt>
                <c:pt idx="18">
                  <c:v>36.756756756756758</c:v>
                </c:pt>
                <c:pt idx="19">
                  <c:v>41.573033707865171</c:v>
                </c:pt>
                <c:pt idx="20">
                  <c:v>77.949709864603477</c:v>
                </c:pt>
                <c:pt idx="21">
                  <c:v>63.985148514851488</c:v>
                </c:pt>
                <c:pt idx="22">
                  <c:v>65.171137835337646</c:v>
                </c:pt>
                <c:pt idx="23">
                  <c:v>56.747967479674799</c:v>
                </c:pt>
                <c:pt idx="24">
                  <c:v>54.05105438401776</c:v>
                </c:pt>
              </c:numCache>
            </c:numRef>
          </c:xVal>
          <c:yVal>
            <c:numRef>
              <c:f>'Мособлдума одномандатный №13'!$U$2:$U$183</c:f>
              <c:numCache>
                <c:formatCode>0.0</c:formatCode>
                <c:ptCount val="25"/>
                <c:pt idx="0">
                  <c:v>2.541436464088398</c:v>
                </c:pt>
                <c:pt idx="1">
                  <c:v>1.2747875354107649</c:v>
                </c:pt>
                <c:pt idx="2">
                  <c:v>2.785515320334262</c:v>
                </c:pt>
                <c:pt idx="3">
                  <c:v>2.1523178807947021</c:v>
                </c:pt>
                <c:pt idx="4">
                  <c:v>7.94392523364486</c:v>
                </c:pt>
                <c:pt idx="5">
                  <c:v>3.9393939393939394</c:v>
                </c:pt>
                <c:pt idx="6">
                  <c:v>32.919254658385093</c:v>
                </c:pt>
                <c:pt idx="7">
                  <c:v>23.952095808383234</c:v>
                </c:pt>
                <c:pt idx="8">
                  <c:v>37.301587301587304</c:v>
                </c:pt>
                <c:pt idx="9">
                  <c:v>2.244668911335578</c:v>
                </c:pt>
                <c:pt idx="10">
                  <c:v>1.935483870967742</c:v>
                </c:pt>
                <c:pt idx="11">
                  <c:v>0</c:v>
                </c:pt>
                <c:pt idx="12">
                  <c:v>0</c:v>
                </c:pt>
                <c:pt idx="13">
                  <c:v>7.1684587813620073</c:v>
                </c:pt>
                <c:pt idx="14">
                  <c:v>0.82372322899505768</c:v>
                </c:pt>
                <c:pt idx="15">
                  <c:v>0.55172413793103448</c:v>
                </c:pt>
                <c:pt idx="16">
                  <c:v>0.33333333333333331</c:v>
                </c:pt>
                <c:pt idx="17">
                  <c:v>17.154255319148938</c:v>
                </c:pt>
                <c:pt idx="18">
                  <c:v>0.81833060556464809</c:v>
                </c:pt>
                <c:pt idx="19">
                  <c:v>0.71123755334281646</c:v>
                </c:pt>
                <c:pt idx="20">
                  <c:v>66.00496277915633</c:v>
                </c:pt>
                <c:pt idx="21">
                  <c:v>5.0290135396518378</c:v>
                </c:pt>
                <c:pt idx="22">
                  <c:v>2.2743425728500357</c:v>
                </c:pt>
                <c:pt idx="23">
                  <c:v>10.17191977077364</c:v>
                </c:pt>
                <c:pt idx="24">
                  <c:v>6.3655030800821359</c:v>
                </c:pt>
              </c:numCache>
            </c:numRef>
          </c:yVal>
          <c:bubbleSize>
            <c:numRef>
              <c:f>'Мособлдума одномандатный №13'!$J$2:$J$183</c:f>
              <c:numCache>
                <c:formatCode>General</c:formatCode>
                <c:ptCount val="25"/>
                <c:pt idx="0">
                  <c:v>2016</c:v>
                </c:pt>
                <c:pt idx="1">
                  <c:v>2330</c:v>
                </c:pt>
                <c:pt idx="2">
                  <c:v>1867</c:v>
                </c:pt>
                <c:pt idx="3">
                  <c:v>1777</c:v>
                </c:pt>
                <c:pt idx="4">
                  <c:v>1121</c:v>
                </c:pt>
                <c:pt idx="5">
                  <c:v>2243</c:v>
                </c:pt>
                <c:pt idx="6">
                  <c:v>1262</c:v>
                </c:pt>
                <c:pt idx="7">
                  <c:v>553</c:v>
                </c:pt>
                <c:pt idx="8">
                  <c:v>932</c:v>
                </c:pt>
                <c:pt idx="9">
                  <c:v>2687</c:v>
                </c:pt>
                <c:pt idx="10">
                  <c:v>2348</c:v>
                </c:pt>
                <c:pt idx="11">
                  <c:v>2383</c:v>
                </c:pt>
                <c:pt idx="12">
                  <c:v>984</c:v>
                </c:pt>
                <c:pt idx="13">
                  <c:v>439</c:v>
                </c:pt>
                <c:pt idx="14">
                  <c:v>1596</c:v>
                </c:pt>
                <c:pt idx="15">
                  <c:v>1548</c:v>
                </c:pt>
                <c:pt idx="16">
                  <c:v>2222</c:v>
                </c:pt>
                <c:pt idx="17">
                  <c:v>1888</c:v>
                </c:pt>
                <c:pt idx="18">
                  <c:v>1665</c:v>
                </c:pt>
                <c:pt idx="19">
                  <c:v>1691</c:v>
                </c:pt>
                <c:pt idx="20">
                  <c:v>517</c:v>
                </c:pt>
                <c:pt idx="21">
                  <c:v>2424</c:v>
                </c:pt>
                <c:pt idx="22">
                  <c:v>2162</c:v>
                </c:pt>
                <c:pt idx="23">
                  <c:v>1230</c:v>
                </c:pt>
                <c:pt idx="24">
                  <c:v>901</c:v>
                </c:pt>
              </c:numCache>
            </c:numRef>
          </c:bubbleSize>
          <c:bubble3D val="0"/>
          <c:extLst>
            <c:ext xmlns:c16="http://schemas.microsoft.com/office/drawing/2014/chart" uri="{C3380CC4-5D6E-409C-BE32-E72D297353CC}">
              <c16:uniqueId val="{00000007-D988-451C-AFB8-1B4BE27C9DF7}"/>
            </c:ext>
          </c:extLst>
        </c:ser>
        <c:ser>
          <c:idx val="2"/>
          <c:order val="8"/>
          <c:tx>
            <c:strRef>
              <c:f>'Мособлдума одномандатный №13'!$AB$202</c:f>
              <c:strCache>
                <c:ptCount val="1"/>
                <c:pt idx="0">
                  <c:v>Вручную задано: Рожнов (ЕР) без фальс. (%)</c:v>
                </c:pt>
              </c:strCache>
            </c:strRef>
          </c:tx>
          <c:spPr>
            <a:ln w="25400">
              <a:noFill/>
            </a:ln>
          </c:spPr>
          <c:invertIfNegative val="0"/>
          <c:errBars>
            <c:errDir val="x"/>
            <c:errBarType val="minus"/>
            <c:errValType val="percentage"/>
            <c:noEndCap val="1"/>
            <c:val val="100"/>
            <c:spPr>
              <a:ln>
                <a:solidFill>
                  <a:srgbClr val="0000FF">
                    <a:alpha val="50000"/>
                  </a:srgbClr>
                </a:solidFill>
              </a:ln>
            </c:spPr>
          </c:errBars>
          <c:xVal>
            <c:numLit>
              <c:formatCode>General</c:formatCode>
              <c:ptCount val="1"/>
              <c:pt idx="0">
                <c:v>100</c:v>
              </c:pt>
            </c:numLit>
          </c:xVal>
          <c:yVal>
            <c:numRef>
              <c:f>'Мособлдума одномандатный №13'!$AB$203</c:f>
              <c:numCache>
                <c:formatCode>0.0</c:formatCode>
                <c:ptCount val="1"/>
                <c:pt idx="0">
                  <c:v>23.3</c:v>
                </c:pt>
              </c:numCache>
            </c:numRef>
          </c:yVal>
          <c:bubbleSize>
            <c:numLit>
              <c:formatCode>General</c:formatCode>
              <c:ptCount val="10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numLit>
          </c:bubbleSize>
          <c:bubble3D val="0"/>
          <c:extLst>
            <c:ext xmlns:c16="http://schemas.microsoft.com/office/drawing/2014/chart" uri="{C3380CC4-5D6E-409C-BE32-E72D297353CC}">
              <c16:uniqueId val="{00000008-D988-451C-AFB8-1B4BE27C9DF7}"/>
            </c:ext>
          </c:extLst>
        </c:ser>
        <c:ser>
          <c:idx val="3"/>
          <c:order val="9"/>
          <c:tx>
            <c:strRef>
              <c:f>'Мособлдума одномандатный №13'!$AB$221</c:f>
              <c:strCache>
                <c:ptCount val="1"/>
                <c:pt idx="0">
                  <c:v>Макс. размер кружка</c:v>
                </c:pt>
              </c:strCache>
            </c:strRef>
          </c:tx>
          <c:spPr>
            <a:solidFill>
              <a:srgbClr val="000000">
                <a:alpha val="50000"/>
              </a:srgbClr>
            </a:solidFill>
            <a:ln w="25400">
              <a:noFill/>
            </a:ln>
          </c:spPr>
          <c:invertIfNegative val="0"/>
          <c:xVal>
            <c:numLit>
              <c:formatCode>General</c:formatCode>
              <c:ptCount val="1"/>
              <c:pt idx="0">
                <c:v>-10</c:v>
              </c:pt>
            </c:numLit>
          </c:xVal>
          <c:yVal>
            <c:numLit>
              <c:formatCode>General</c:formatCode>
              <c:ptCount val="1"/>
              <c:pt idx="0">
                <c:v>-10</c:v>
              </c:pt>
            </c:numLit>
          </c:yVal>
          <c:bubbleSize>
            <c:numRef>
              <c:f>'Мособлдума одномандатный №13'!$AB$222</c:f>
              <c:numCache>
                <c:formatCode>General</c:formatCode>
                <c:ptCount val="1"/>
                <c:pt idx="0">
                  <c:v>6044</c:v>
                </c:pt>
              </c:numCache>
            </c:numRef>
          </c:bubbleSize>
          <c:bubble3D val="0"/>
          <c:extLst>
            <c:ext xmlns:c16="http://schemas.microsoft.com/office/drawing/2014/chart" uri="{C3380CC4-5D6E-409C-BE32-E72D297353CC}">
              <c16:uniqueId val="{00000009-D988-451C-AFB8-1B4BE27C9DF7}"/>
            </c:ext>
          </c:extLst>
        </c:ser>
        <c:dLbls>
          <c:showLegendKey val="0"/>
          <c:showVal val="0"/>
          <c:showCatName val="0"/>
          <c:showSerName val="0"/>
          <c:showPercent val="0"/>
          <c:showBubbleSize val="0"/>
        </c:dLbls>
        <c:bubbleScale val="10"/>
        <c:showNegBubbles val="0"/>
        <c:axId val="1404683680"/>
        <c:axId val="1467487472"/>
      </c:bubbleChart>
      <c:valAx>
        <c:axId val="1404683680"/>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ru-RU"/>
                  <a:t>Явка (%)</a:t>
                </a:r>
                <a:endParaRPr lang="en-US"/>
              </a:p>
            </c:rich>
          </c:tx>
          <c:layout>
            <c:manualLayout>
              <c:xMode val="edge"/>
              <c:yMode val="edge"/>
              <c:x val="0.52512194143602087"/>
              <c:y val="0.97176842105263161"/>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7487472"/>
        <c:crossesAt val="0"/>
        <c:crossBetween val="midCat"/>
      </c:valAx>
      <c:valAx>
        <c:axId val="1467487472"/>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ru-RU"/>
                  <a:t>% за</a:t>
                </a:r>
                <a:endParaRPr lang="en-US"/>
              </a:p>
            </c:rich>
          </c:tx>
          <c:layout>
            <c:manualLayout>
              <c:xMode val="edge"/>
              <c:yMode val="edge"/>
              <c:x val="0"/>
              <c:y val="0.4319714912280701"/>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683680"/>
        <c:crosses val="autoZero"/>
        <c:crossBetween val="midCat"/>
        <c:majorUnit val="10"/>
      </c:valAx>
    </c:plotArea>
    <c:legend>
      <c:legendPos val="b"/>
      <c:layout>
        <c:manualLayout>
          <c:xMode val="edge"/>
          <c:yMode val="edge"/>
          <c:x val="3.999358202968311E-2"/>
          <c:y val="0.11734371345029242"/>
          <c:w val="0.17916546329723226"/>
          <c:h val="0.26597149122807012"/>
        </c:manualLayout>
      </c:layout>
      <c:overlay val="0"/>
      <c:spPr>
        <a:solidFill>
          <a:srgbClr val="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14296</xdr:colOff>
      <xdr:row>186</xdr:row>
      <xdr:rowOff>10481</xdr:rowOff>
    </xdr:from>
    <xdr:to>
      <xdr:col>25</xdr:col>
      <xdr:colOff>245785</xdr:colOff>
      <xdr:row>223</xdr:row>
      <xdr:rowOff>145383</xdr:rowOff>
    </xdr:to>
    <xdr:graphicFrame macro="">
      <xdr:nvGraphicFramePr>
        <xdr:cNvPr id="2" name="Chart 1">
          <a:extLst>
            <a:ext uri="{FF2B5EF4-FFF2-40B4-BE49-F238E27FC236}">
              <a16:creationId xmlns:a16="http://schemas.microsoft.com/office/drawing/2014/main" id="{5FA27148-FA9C-4920-B6AB-D12332896A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26</xdr:col>
      <xdr:colOff>4528</xdr:colOff>
      <xdr:row>186</xdr:row>
      <xdr:rowOff>756</xdr:rowOff>
    </xdr:from>
    <xdr:to>
      <xdr:col>29</xdr:col>
      <xdr:colOff>369987</xdr:colOff>
      <xdr:row>199</xdr:row>
      <xdr:rowOff>150864</xdr:rowOff>
    </xdr:to>
    <mc:AlternateContent xmlns:mc="http://schemas.openxmlformats.org/markup-compatibility/2006" xmlns:sle15="http://schemas.microsoft.com/office/drawing/2012/slicer">
      <mc:Choice Requires="sle15">
        <xdr:graphicFrame macro="">
          <xdr:nvGraphicFramePr>
            <xdr:cNvPr id="3" name="Наблюдателей">
              <a:extLst>
                <a:ext uri="{FF2B5EF4-FFF2-40B4-BE49-F238E27FC236}">
                  <a16:creationId xmlns:a16="http://schemas.microsoft.com/office/drawing/2014/main" id="{773D6DC8-0185-4082-BB02-433FDACA47AC}"/>
                </a:ext>
              </a:extLst>
            </xdr:cNvPr>
            <xdr:cNvGraphicFramePr/>
          </xdr:nvGraphicFramePr>
          <xdr:xfrm>
            <a:off x="0" y="0"/>
            <a:ext cx="0" cy="0"/>
          </xdr:xfrm>
          <a:graphic>
            <a:graphicData uri="http://schemas.microsoft.com/office/drawing/2010/slicer">
              <sle:slicer xmlns:sle="http://schemas.microsoft.com/office/drawing/2010/slicer" name="Наблюдателей"/>
            </a:graphicData>
          </a:graphic>
        </xdr:graphicFrame>
      </mc:Choice>
      <mc:Fallback xmlns="">
        <xdr:sp macro="" textlink="">
          <xdr:nvSpPr>
            <xdr:cNvPr id="0" name=""/>
            <xdr:cNvSpPr>
              <a:spLocks noTextEdit="1"/>
            </xdr:cNvSpPr>
          </xdr:nvSpPr>
          <xdr:spPr>
            <a:xfrm>
              <a:off x="10175435" y="33707457"/>
              <a:ext cx="1656643" cy="250595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oneCell">
    <xdr:from>
      <xdr:col>26</xdr:col>
      <xdr:colOff>4530</xdr:colOff>
      <xdr:row>206</xdr:row>
      <xdr:rowOff>754</xdr:rowOff>
    </xdr:from>
    <xdr:to>
      <xdr:col>29</xdr:col>
      <xdr:colOff>369988</xdr:colOff>
      <xdr:row>211</xdr:row>
      <xdr:rowOff>30202</xdr:rowOff>
    </xdr:to>
    <mc:AlternateContent xmlns:mc="http://schemas.openxmlformats.org/markup-compatibility/2006" xmlns:sle15="http://schemas.microsoft.com/office/drawing/2012/slicer">
      <mc:Choice Requires="sle15">
        <xdr:graphicFrame macro="">
          <xdr:nvGraphicFramePr>
            <xdr:cNvPr id="4" name="КОИБ">
              <a:extLst>
                <a:ext uri="{FF2B5EF4-FFF2-40B4-BE49-F238E27FC236}">
                  <a16:creationId xmlns:a16="http://schemas.microsoft.com/office/drawing/2014/main" id="{4F591155-D9B3-4B26-B684-8E74AD8FA032}"/>
                </a:ext>
              </a:extLst>
            </xdr:cNvPr>
            <xdr:cNvGraphicFramePr/>
          </xdr:nvGraphicFramePr>
          <xdr:xfrm>
            <a:off x="0" y="0"/>
            <a:ext cx="0" cy="0"/>
          </xdr:xfrm>
          <a:graphic>
            <a:graphicData uri="http://schemas.microsoft.com/office/drawing/2010/slicer">
              <sle:slicer xmlns:sle="http://schemas.microsoft.com/office/drawing/2010/slicer" name="КОИБ"/>
            </a:graphicData>
          </a:graphic>
        </xdr:graphicFrame>
      </mc:Choice>
      <mc:Fallback xmlns="">
        <xdr:sp macro="" textlink="">
          <xdr:nvSpPr>
            <xdr:cNvPr id="0" name=""/>
            <xdr:cNvSpPr>
              <a:spLocks noTextEdit="1"/>
            </xdr:cNvSpPr>
          </xdr:nvSpPr>
          <xdr:spPr>
            <a:xfrm>
              <a:off x="10175437" y="37331833"/>
              <a:ext cx="1656642" cy="93554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c:userShapes xmlns:c="http://schemas.openxmlformats.org/drawingml/2006/chart">
  <cdr:relSizeAnchor xmlns:cdr="http://schemas.openxmlformats.org/drawingml/2006/chartDrawing">
    <cdr:from>
      <cdr:x>0.22468</cdr:x>
      <cdr:y>0.55223</cdr:y>
    </cdr:from>
    <cdr:to>
      <cdr:x>0.49302</cdr:x>
      <cdr:y>0.64483</cdr:y>
    </cdr:to>
    <cdr:sp macro="" textlink="">
      <cdr:nvSpPr>
        <cdr:cNvPr id="13" name="TextBox 1">
          <a:extLst xmlns:a="http://schemas.openxmlformats.org/drawingml/2006/main">
            <a:ext uri="{FF2B5EF4-FFF2-40B4-BE49-F238E27FC236}">
              <a16:creationId xmlns:a16="http://schemas.microsoft.com/office/drawing/2014/main" id="{C32C8408-9E0E-4209-98B6-87C83E0ABB4F}"/>
            </a:ext>
          </a:extLst>
        </cdr:cNvPr>
        <cdr:cNvSpPr txBox="1"/>
      </cdr:nvSpPr>
      <cdr:spPr>
        <a:xfrm xmlns:a="http://schemas.openxmlformats.org/drawingml/2006/main">
          <a:off x="2237134" y="3759093"/>
          <a:ext cx="2671787" cy="63034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ru-RU" sz="1100">
              <a:solidFill>
                <a:srgbClr val="777777"/>
              </a:solidFill>
              <a:effectLst/>
              <a:latin typeface="+mn-lt"/>
              <a:ea typeface="+mn-ea"/>
              <a:cs typeface="+mn-cs"/>
            </a:rPr>
            <a:t>Единственный</a:t>
          </a:r>
          <a:r>
            <a:rPr lang="ru-RU" sz="1100" baseline="0">
              <a:solidFill>
                <a:srgbClr val="777777"/>
              </a:solidFill>
              <a:effectLst/>
              <a:latin typeface="+mn-lt"/>
              <a:ea typeface="+mn-ea"/>
              <a:cs typeface="+mn-cs"/>
            </a:rPr>
            <a:t> наблюдатель — ПСГ ТИК —</a:t>
          </a:r>
        </a:p>
        <a:p xmlns:a="http://schemas.openxmlformats.org/drawingml/2006/main">
          <a:r>
            <a:rPr lang="ru-RU" sz="1100" baseline="0">
              <a:solidFill>
                <a:srgbClr val="777777"/>
              </a:solidFill>
              <a:effectLst/>
              <a:latin typeface="+mn-lt"/>
              <a:ea typeface="+mn-ea"/>
              <a:cs typeface="+mn-cs"/>
            </a:rPr>
            <a:t>обходил все участки три дня, а на подсчёт</a:t>
          </a:r>
        </a:p>
        <a:p xmlns:a="http://schemas.openxmlformats.org/drawingml/2006/main">
          <a:r>
            <a:rPr lang="ru-RU" sz="1100" baseline="0">
              <a:solidFill>
                <a:srgbClr val="777777"/>
              </a:solidFill>
              <a:effectLst/>
              <a:latin typeface="+mn-lt"/>
              <a:ea typeface="+mn-ea"/>
              <a:cs typeface="+mn-cs"/>
            </a:rPr>
            <a:t>голосов остался на этом, 216</a:t>
          </a:r>
          <a:endParaRPr lang="en-US" sz="900">
            <a:solidFill>
              <a:srgbClr val="777777"/>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0.26406</cdr:x>
      <cdr:y>0.18295</cdr:y>
    </cdr:from>
    <cdr:to>
      <cdr:x>0.38005</cdr:x>
      <cdr:y>0.24519</cdr:y>
    </cdr:to>
    <cdr:sp macro="" textlink="">
      <cdr:nvSpPr>
        <cdr:cNvPr id="2" name="TextBox 1">
          <a:extLst xmlns:a="http://schemas.openxmlformats.org/drawingml/2006/main">
            <a:ext uri="{FF2B5EF4-FFF2-40B4-BE49-F238E27FC236}">
              <a16:creationId xmlns:a16="http://schemas.microsoft.com/office/drawing/2014/main" id="{2EA15636-A972-41CE-9214-A2B8A36973FA}"/>
            </a:ext>
          </a:extLst>
        </cdr:cNvPr>
        <cdr:cNvSpPr txBox="1"/>
      </cdr:nvSpPr>
      <cdr:spPr>
        <a:xfrm xmlns:a="http://schemas.openxmlformats.org/drawingml/2006/main">
          <a:off x="2633168" y="1251374"/>
          <a:ext cx="1156645" cy="425742"/>
        </a:xfrm>
        <a:prstGeom xmlns:a="http://schemas.openxmlformats.org/drawingml/2006/main" prst="rect">
          <a:avLst/>
        </a:prstGeom>
        <a:solidFill xmlns:a="http://schemas.openxmlformats.org/drawingml/2006/main">
          <a:srgbClr val="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ru-RU" sz="1100">
              <a:solidFill>
                <a:srgbClr val="777777"/>
              </a:solidFill>
              <a:effectLst/>
              <a:latin typeface="+mn-lt"/>
              <a:ea typeface="+mn-ea"/>
              <a:cs typeface="+mn-cs"/>
            </a:rPr>
            <a:t>3946,47</a:t>
          </a:r>
        </a:p>
        <a:p xmlns:a="http://schemas.openxmlformats.org/drawingml/2006/main">
          <a:r>
            <a:rPr lang="ru-RU" sz="1100">
              <a:solidFill>
                <a:srgbClr val="777777"/>
              </a:solidFill>
              <a:effectLst/>
              <a:latin typeface="+mn-lt"/>
              <a:ea typeface="+mn-ea"/>
              <a:cs typeface="+mn-cs"/>
            </a:rPr>
            <a:t>посёлок</a:t>
          </a:r>
          <a:r>
            <a:rPr lang="ru-RU" sz="1100" baseline="0">
              <a:solidFill>
                <a:srgbClr val="777777"/>
              </a:solidFill>
              <a:effectLst/>
              <a:latin typeface="+mn-lt"/>
              <a:ea typeface="+mn-ea"/>
              <a:cs typeface="+mn-cs"/>
            </a:rPr>
            <a:t> Барвиха</a:t>
          </a:r>
          <a:endParaRPr lang="en-US" sz="900">
            <a:solidFill>
              <a:srgbClr val="777777"/>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0.32205</cdr:x>
      <cdr:y>0.24519</cdr:y>
    </cdr:from>
    <cdr:to>
      <cdr:x>0.42945</cdr:x>
      <cdr:y>0.50412</cdr:y>
    </cdr:to>
    <cdr:cxnSp macro="">
      <cdr:nvCxnSpPr>
        <cdr:cNvPr id="3" name="Straight Connector 2">
          <a:extLst xmlns:a="http://schemas.openxmlformats.org/drawingml/2006/main">
            <a:ext uri="{FF2B5EF4-FFF2-40B4-BE49-F238E27FC236}">
              <a16:creationId xmlns:a16="http://schemas.microsoft.com/office/drawing/2014/main" id="{689A974B-0FBF-43B9-BD2D-02DA703E70B5}"/>
            </a:ext>
          </a:extLst>
        </cdr:cNvPr>
        <cdr:cNvCxnSpPr>
          <a:stCxn xmlns:a="http://schemas.openxmlformats.org/drawingml/2006/main" id="2" idx="2"/>
        </cdr:cNvCxnSpPr>
      </cdr:nvCxnSpPr>
      <cdr:spPr>
        <a:xfrm xmlns:a="http://schemas.openxmlformats.org/drawingml/2006/main">
          <a:off x="3209819" y="1651428"/>
          <a:ext cx="1070394" cy="1743967"/>
        </a:xfrm>
        <a:prstGeom xmlns:a="http://schemas.openxmlformats.org/drawingml/2006/main" prst="line">
          <a:avLst/>
        </a:prstGeom>
        <a:ln xmlns:a="http://schemas.openxmlformats.org/drawingml/2006/main" w="6350">
          <a:solidFill>
            <a:srgbClr val="777777"/>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0.32205</cdr:x>
      <cdr:y>0.24519</cdr:y>
    </cdr:from>
    <cdr:to>
      <cdr:x>0.44016</cdr:x>
      <cdr:y>0.44605</cdr:y>
    </cdr:to>
    <cdr:cxnSp macro="">
      <cdr:nvCxnSpPr>
        <cdr:cNvPr id="4" name="Straight Connector 3">
          <a:extLst xmlns:a="http://schemas.openxmlformats.org/drawingml/2006/main">
            <a:ext uri="{FF2B5EF4-FFF2-40B4-BE49-F238E27FC236}">
              <a16:creationId xmlns:a16="http://schemas.microsoft.com/office/drawing/2014/main" id="{6F4459C9-3254-41C4-B19C-211933625479}"/>
            </a:ext>
          </a:extLst>
        </cdr:cNvPr>
        <cdr:cNvCxnSpPr>
          <a:endCxn xmlns:a="http://schemas.openxmlformats.org/drawingml/2006/main" id="2" idx="2"/>
        </cdr:cNvCxnSpPr>
      </cdr:nvCxnSpPr>
      <cdr:spPr>
        <a:xfrm xmlns:a="http://schemas.openxmlformats.org/drawingml/2006/main" flipH="1" flipV="1">
          <a:off x="3203223" y="1663415"/>
          <a:ext cx="1174772" cy="1362652"/>
        </a:xfrm>
        <a:prstGeom xmlns:a="http://schemas.openxmlformats.org/drawingml/2006/main" prst="line">
          <a:avLst/>
        </a:prstGeom>
        <a:ln xmlns:a="http://schemas.openxmlformats.org/drawingml/2006/main" w="6350">
          <a:solidFill>
            <a:srgbClr val="777777"/>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0.41293</cdr:x>
      <cdr:y>0.62284</cdr:y>
    </cdr:from>
    <cdr:to>
      <cdr:x>0.49943</cdr:x>
      <cdr:y>0.62284</cdr:y>
    </cdr:to>
    <cdr:cxnSp macro="">
      <cdr:nvCxnSpPr>
        <cdr:cNvPr id="15" name="Straight Connector 14">
          <a:extLst xmlns:a="http://schemas.openxmlformats.org/drawingml/2006/main">
            <a:ext uri="{FF2B5EF4-FFF2-40B4-BE49-F238E27FC236}">
              <a16:creationId xmlns:a16="http://schemas.microsoft.com/office/drawing/2014/main" id="{5D3AB4C2-6B0E-4417-A774-21555860BFB6}"/>
            </a:ext>
          </a:extLst>
        </cdr:cNvPr>
        <cdr:cNvCxnSpPr/>
      </cdr:nvCxnSpPr>
      <cdr:spPr>
        <a:xfrm xmlns:a="http://schemas.openxmlformats.org/drawingml/2006/main">
          <a:off x="4111542" y="4239723"/>
          <a:ext cx="861233" cy="2"/>
        </a:xfrm>
        <a:prstGeom xmlns:a="http://schemas.openxmlformats.org/drawingml/2006/main" prst="line">
          <a:avLst/>
        </a:prstGeom>
        <a:ln xmlns:a="http://schemas.openxmlformats.org/drawingml/2006/main" w="6350">
          <a:solidFill>
            <a:srgbClr val="777777"/>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0.62448</cdr:x>
      <cdr:y>0.55387</cdr:y>
    </cdr:from>
    <cdr:to>
      <cdr:x>0.97687</cdr:x>
      <cdr:y>0.68952</cdr:y>
    </cdr:to>
    <cdr:sp macro="" textlink="">
      <cdr:nvSpPr>
        <cdr:cNvPr id="7" name="TextBox 1">
          <a:extLst xmlns:a="http://schemas.openxmlformats.org/drawingml/2006/main">
            <a:ext uri="{FF2B5EF4-FFF2-40B4-BE49-F238E27FC236}">
              <a16:creationId xmlns:a16="http://schemas.microsoft.com/office/drawing/2014/main" id="{71EB0092-DB0D-4606-B583-10C3017B1A3F}"/>
            </a:ext>
          </a:extLst>
        </cdr:cNvPr>
        <cdr:cNvSpPr txBox="1"/>
      </cdr:nvSpPr>
      <cdr:spPr>
        <a:xfrm xmlns:a="http://schemas.openxmlformats.org/drawingml/2006/main">
          <a:off x="6227340" y="3788439"/>
          <a:ext cx="3513977" cy="927872"/>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ru-RU" sz="1100" baseline="0">
              <a:solidFill>
                <a:srgbClr val="777777"/>
              </a:solidFill>
              <a:effectLst/>
              <a:latin typeface="+mn-lt"/>
              <a:ea typeface="+mn-ea"/>
              <a:cs typeface="+mn-cs"/>
            </a:rPr>
            <a:t>К участку 1954 было приписано более 1000 голосующих</a:t>
          </a:r>
        </a:p>
        <a:p xmlns:a="http://schemas.openxmlformats.org/drawingml/2006/main">
          <a:r>
            <a:rPr lang="ru-RU" sz="1100" baseline="0">
              <a:solidFill>
                <a:srgbClr val="777777"/>
              </a:solidFill>
              <a:effectLst/>
              <a:latin typeface="+mn-lt"/>
              <a:ea typeface="+mn-ea"/>
              <a:cs typeface="+mn-cs"/>
            </a:rPr>
            <a:t>по месту нахождения, в том числе много сотрудников</a:t>
          </a:r>
        </a:p>
        <a:p xmlns:a="http://schemas.openxmlformats.org/drawingml/2006/main">
          <a:r>
            <a:rPr lang="ru-RU" sz="1100" baseline="0">
              <a:solidFill>
                <a:srgbClr val="777777"/>
              </a:solidFill>
              <a:effectLst/>
              <a:latin typeface="+mn-lt"/>
              <a:ea typeface="+mn-ea"/>
              <a:cs typeface="+mn-cs"/>
            </a:rPr>
            <a:t>АО «Одинцовская теплосеть». Здесь самая большая</a:t>
          </a:r>
        </a:p>
        <a:p xmlns:a="http://schemas.openxmlformats.org/drawingml/2006/main">
          <a:r>
            <a:rPr lang="ru-RU" sz="1100" baseline="0">
              <a:solidFill>
                <a:srgbClr val="777777"/>
              </a:solidFill>
              <a:effectLst/>
              <a:latin typeface="+mn-lt"/>
              <a:ea typeface="+mn-ea"/>
              <a:cs typeface="+mn-cs"/>
            </a:rPr>
            <a:t>оценка фальсификации в пользу ЕР из всех участков</a:t>
          </a:r>
        </a:p>
        <a:p xmlns:a="http://schemas.openxmlformats.org/drawingml/2006/main">
          <a:r>
            <a:rPr lang="ru-RU" sz="1100" baseline="0">
              <a:solidFill>
                <a:srgbClr val="777777"/>
              </a:solidFill>
              <a:effectLst/>
              <a:latin typeface="+mn-lt"/>
              <a:ea typeface="+mn-ea"/>
              <a:cs typeface="+mn-cs"/>
            </a:rPr>
            <a:t>с наблюдателями — порядка 200 бюллетеней.</a:t>
          </a:r>
          <a:endParaRPr lang="en-US" sz="900">
            <a:solidFill>
              <a:srgbClr val="777777"/>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0.58537</cdr:x>
      <cdr:y>0.62475</cdr:y>
    </cdr:from>
    <cdr:to>
      <cdr:x>0.62869</cdr:x>
      <cdr:y>0.62475</cdr:y>
    </cdr:to>
    <cdr:cxnSp macro="">
      <cdr:nvCxnSpPr>
        <cdr:cNvPr id="8" name="Straight Connector 7">
          <a:extLst xmlns:a="http://schemas.openxmlformats.org/drawingml/2006/main">
            <a:ext uri="{FF2B5EF4-FFF2-40B4-BE49-F238E27FC236}">
              <a16:creationId xmlns:a16="http://schemas.microsoft.com/office/drawing/2014/main" id="{45922061-37A2-4A61-BD63-40D6BAB88A76}"/>
            </a:ext>
          </a:extLst>
        </cdr:cNvPr>
        <cdr:cNvCxnSpPr/>
      </cdr:nvCxnSpPr>
      <cdr:spPr>
        <a:xfrm xmlns:a="http://schemas.openxmlformats.org/drawingml/2006/main">
          <a:off x="5837261" y="4273271"/>
          <a:ext cx="432000" cy="0"/>
        </a:xfrm>
        <a:prstGeom xmlns:a="http://schemas.openxmlformats.org/drawingml/2006/main" prst="line">
          <a:avLst/>
        </a:prstGeom>
        <a:ln xmlns:a="http://schemas.openxmlformats.org/drawingml/2006/main" w="6350">
          <a:solidFill>
            <a:srgbClr val="777777"/>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editAs="oneCell">
    <xdr:from>
      <xdr:col>5</xdr:col>
      <xdr:colOff>14295</xdr:colOff>
      <xdr:row>186</xdr:row>
      <xdr:rowOff>10482</xdr:rowOff>
    </xdr:from>
    <xdr:to>
      <xdr:col>25</xdr:col>
      <xdr:colOff>94768</xdr:colOff>
      <xdr:row>223</xdr:row>
      <xdr:rowOff>145384</xdr:rowOff>
    </xdr:to>
    <xdr:graphicFrame macro="">
      <xdr:nvGraphicFramePr>
        <xdr:cNvPr id="2" name="Chart 1">
          <a:extLst>
            <a:ext uri="{FF2B5EF4-FFF2-40B4-BE49-F238E27FC236}">
              <a16:creationId xmlns:a16="http://schemas.microsoft.com/office/drawing/2014/main" id="{009AB129-D542-4555-AE7B-839DA8F2D4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26</xdr:col>
      <xdr:colOff>12829</xdr:colOff>
      <xdr:row>186</xdr:row>
      <xdr:rowOff>756</xdr:rowOff>
    </xdr:from>
    <xdr:to>
      <xdr:col>29</xdr:col>
      <xdr:colOff>339777</xdr:colOff>
      <xdr:row>199</xdr:row>
      <xdr:rowOff>150864</xdr:rowOff>
    </xdr:to>
    <mc:AlternateContent xmlns:mc="http://schemas.openxmlformats.org/markup-compatibility/2006" xmlns:sle15="http://schemas.microsoft.com/office/drawing/2012/slicer">
      <mc:Choice Requires="sle15">
        <xdr:graphicFrame macro="">
          <xdr:nvGraphicFramePr>
            <xdr:cNvPr id="3" name="Наблюдателей 1">
              <a:extLst>
                <a:ext uri="{FF2B5EF4-FFF2-40B4-BE49-F238E27FC236}">
                  <a16:creationId xmlns:a16="http://schemas.microsoft.com/office/drawing/2014/main" id="{DDE3C329-48E8-4E86-8DB2-DF785572499D}"/>
                </a:ext>
              </a:extLst>
            </xdr:cNvPr>
            <xdr:cNvGraphicFramePr/>
          </xdr:nvGraphicFramePr>
          <xdr:xfrm>
            <a:off x="0" y="0"/>
            <a:ext cx="0" cy="0"/>
          </xdr:xfrm>
          <a:graphic>
            <a:graphicData uri="http://schemas.microsoft.com/office/drawing/2010/slicer">
              <sle:slicer xmlns:sle="http://schemas.microsoft.com/office/drawing/2010/slicer" name="Наблюдателей 1"/>
            </a:graphicData>
          </a:graphic>
        </xdr:graphicFrame>
      </mc:Choice>
      <mc:Fallback xmlns="">
        <xdr:sp macro="" textlink="">
          <xdr:nvSpPr>
            <xdr:cNvPr id="0" name=""/>
            <xdr:cNvSpPr>
              <a:spLocks noTextEdit="1"/>
            </xdr:cNvSpPr>
          </xdr:nvSpPr>
          <xdr:spPr>
            <a:xfrm>
              <a:off x="12456522" y="906850"/>
              <a:ext cx="1640785" cy="250595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oneCell">
    <xdr:from>
      <xdr:col>26</xdr:col>
      <xdr:colOff>4530</xdr:colOff>
      <xdr:row>206</xdr:row>
      <xdr:rowOff>754</xdr:rowOff>
    </xdr:from>
    <xdr:to>
      <xdr:col>29</xdr:col>
      <xdr:colOff>362437</xdr:colOff>
      <xdr:row>211</xdr:row>
      <xdr:rowOff>30203</xdr:rowOff>
    </xdr:to>
    <mc:AlternateContent xmlns:mc="http://schemas.openxmlformats.org/markup-compatibility/2006" xmlns:sle15="http://schemas.microsoft.com/office/drawing/2012/slicer">
      <mc:Choice Requires="sle15">
        <xdr:graphicFrame macro="">
          <xdr:nvGraphicFramePr>
            <xdr:cNvPr id="5" name="КОИБ 1">
              <a:extLst>
                <a:ext uri="{FF2B5EF4-FFF2-40B4-BE49-F238E27FC236}">
                  <a16:creationId xmlns:a16="http://schemas.microsoft.com/office/drawing/2014/main" id="{A7868643-6721-4367-88B2-5B834B5627B1}"/>
                </a:ext>
              </a:extLst>
            </xdr:cNvPr>
            <xdr:cNvGraphicFramePr/>
          </xdr:nvGraphicFramePr>
          <xdr:xfrm>
            <a:off x="0" y="0"/>
            <a:ext cx="0" cy="0"/>
          </xdr:xfrm>
          <a:graphic>
            <a:graphicData uri="http://schemas.microsoft.com/office/drawing/2010/slicer">
              <sle:slicer xmlns:sle="http://schemas.microsoft.com/office/drawing/2010/slicer" name="КОИБ 1"/>
            </a:graphicData>
          </a:graphic>
        </xdr:graphicFrame>
      </mc:Choice>
      <mc:Fallback xmlns="">
        <xdr:sp macro="" textlink="">
          <xdr:nvSpPr>
            <xdr:cNvPr id="0" name=""/>
            <xdr:cNvSpPr>
              <a:spLocks noTextEdit="1"/>
            </xdr:cNvSpPr>
          </xdr:nvSpPr>
          <xdr:spPr>
            <a:xfrm>
              <a:off x="10334003" y="37331833"/>
              <a:ext cx="1671744" cy="935543"/>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c:userShapes xmlns:c="http://schemas.openxmlformats.org/drawingml/2006/chart">
  <cdr:relSizeAnchor xmlns:cdr="http://schemas.openxmlformats.org/drawingml/2006/chartDrawing">
    <cdr:from>
      <cdr:x>0.26627</cdr:x>
      <cdr:y>0.17878</cdr:y>
    </cdr:from>
    <cdr:to>
      <cdr:x>0.38226</cdr:x>
      <cdr:y>0.24102</cdr:y>
    </cdr:to>
    <cdr:sp macro="" textlink="">
      <cdr:nvSpPr>
        <cdr:cNvPr id="2" name="TextBox 1">
          <a:extLst xmlns:a="http://schemas.openxmlformats.org/drawingml/2006/main">
            <a:ext uri="{FF2B5EF4-FFF2-40B4-BE49-F238E27FC236}">
              <a16:creationId xmlns:a16="http://schemas.microsoft.com/office/drawing/2014/main" id="{C32C8408-9E0E-4209-98B6-87C83E0ABB4F}"/>
            </a:ext>
          </a:extLst>
        </cdr:cNvPr>
        <cdr:cNvSpPr txBox="1"/>
      </cdr:nvSpPr>
      <cdr:spPr>
        <a:xfrm xmlns:a="http://schemas.openxmlformats.org/drawingml/2006/main">
          <a:off x="2662059" y="1204123"/>
          <a:ext cx="1159601" cy="419221"/>
        </a:xfrm>
        <a:prstGeom xmlns:a="http://schemas.openxmlformats.org/drawingml/2006/main" prst="rect">
          <a:avLst/>
        </a:prstGeom>
        <a:solidFill xmlns:a="http://schemas.openxmlformats.org/drawingml/2006/main">
          <a:srgbClr val="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ru-RU" sz="1100">
              <a:solidFill>
                <a:srgbClr val="777777"/>
              </a:solidFill>
              <a:effectLst/>
              <a:latin typeface="+mn-lt"/>
              <a:ea typeface="+mn-ea"/>
              <a:cs typeface="+mn-cs"/>
            </a:rPr>
            <a:t>3946,47</a:t>
          </a:r>
        </a:p>
        <a:p xmlns:a="http://schemas.openxmlformats.org/drawingml/2006/main">
          <a:r>
            <a:rPr lang="ru-RU" sz="1100">
              <a:solidFill>
                <a:srgbClr val="777777"/>
              </a:solidFill>
              <a:effectLst/>
              <a:latin typeface="+mn-lt"/>
              <a:ea typeface="+mn-ea"/>
              <a:cs typeface="+mn-cs"/>
            </a:rPr>
            <a:t>посёлок</a:t>
          </a:r>
          <a:r>
            <a:rPr lang="ru-RU" sz="1100" baseline="0">
              <a:solidFill>
                <a:srgbClr val="777777"/>
              </a:solidFill>
              <a:effectLst/>
              <a:latin typeface="+mn-lt"/>
              <a:ea typeface="+mn-ea"/>
              <a:cs typeface="+mn-cs"/>
            </a:rPr>
            <a:t> Барвиха</a:t>
          </a:r>
          <a:endParaRPr lang="en-US" sz="900">
            <a:solidFill>
              <a:srgbClr val="777777"/>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0.32427</cdr:x>
      <cdr:y>0.24102</cdr:y>
    </cdr:from>
    <cdr:to>
      <cdr:x>0.41888</cdr:x>
      <cdr:y>0.56445</cdr:y>
    </cdr:to>
    <cdr:cxnSp macro="">
      <cdr:nvCxnSpPr>
        <cdr:cNvPr id="3" name="Straight Connector 2">
          <a:extLst xmlns:a="http://schemas.openxmlformats.org/drawingml/2006/main">
            <a:ext uri="{FF2B5EF4-FFF2-40B4-BE49-F238E27FC236}">
              <a16:creationId xmlns:a16="http://schemas.microsoft.com/office/drawing/2014/main" id="{D66057B0-B3F4-4667-AC27-A5F213931918}"/>
            </a:ext>
          </a:extLst>
        </cdr:cNvPr>
        <cdr:cNvCxnSpPr>
          <a:stCxn xmlns:a="http://schemas.openxmlformats.org/drawingml/2006/main" id="2" idx="2"/>
        </cdr:cNvCxnSpPr>
      </cdr:nvCxnSpPr>
      <cdr:spPr>
        <a:xfrm xmlns:a="http://schemas.openxmlformats.org/drawingml/2006/main">
          <a:off x="3241860" y="1623344"/>
          <a:ext cx="945857" cy="2178377"/>
        </a:xfrm>
        <a:prstGeom xmlns:a="http://schemas.openxmlformats.org/drawingml/2006/main" prst="line">
          <a:avLst/>
        </a:prstGeom>
        <a:ln xmlns:a="http://schemas.openxmlformats.org/drawingml/2006/main" w="6350">
          <a:solidFill>
            <a:srgbClr val="777777"/>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0.32427</cdr:x>
      <cdr:y>0.24102</cdr:y>
    </cdr:from>
    <cdr:to>
      <cdr:x>0.43143</cdr:x>
      <cdr:y>0.5056</cdr:y>
    </cdr:to>
    <cdr:cxnSp macro="">
      <cdr:nvCxnSpPr>
        <cdr:cNvPr id="4" name="Straight Connector 3">
          <a:extLst xmlns:a="http://schemas.openxmlformats.org/drawingml/2006/main">
            <a:ext uri="{FF2B5EF4-FFF2-40B4-BE49-F238E27FC236}">
              <a16:creationId xmlns:a16="http://schemas.microsoft.com/office/drawing/2014/main" id="{5D3AB4C2-6B0E-4417-A774-21555860BFB6}"/>
            </a:ext>
          </a:extLst>
        </cdr:cNvPr>
        <cdr:cNvCxnSpPr>
          <a:endCxn xmlns:a="http://schemas.openxmlformats.org/drawingml/2006/main" id="2" idx="2"/>
        </cdr:cNvCxnSpPr>
      </cdr:nvCxnSpPr>
      <cdr:spPr>
        <a:xfrm xmlns:a="http://schemas.openxmlformats.org/drawingml/2006/main" flipH="1" flipV="1">
          <a:off x="3241860" y="1623344"/>
          <a:ext cx="1071389" cy="1781961"/>
        </a:xfrm>
        <a:prstGeom xmlns:a="http://schemas.openxmlformats.org/drawingml/2006/main" prst="line">
          <a:avLst/>
        </a:prstGeom>
        <a:ln xmlns:a="http://schemas.openxmlformats.org/drawingml/2006/main" w="6350">
          <a:solidFill>
            <a:srgbClr val="777777"/>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editAs="oneCell">
    <xdr:from>
      <xdr:col>5</xdr:col>
      <xdr:colOff>14296</xdr:colOff>
      <xdr:row>186</xdr:row>
      <xdr:rowOff>10483</xdr:rowOff>
    </xdr:from>
    <xdr:to>
      <xdr:col>25</xdr:col>
      <xdr:colOff>245785</xdr:colOff>
      <xdr:row>223</xdr:row>
      <xdr:rowOff>145385</xdr:rowOff>
    </xdr:to>
    <xdr:graphicFrame macro="">
      <xdr:nvGraphicFramePr>
        <xdr:cNvPr id="2" name="Chart 1">
          <a:extLst>
            <a:ext uri="{FF2B5EF4-FFF2-40B4-BE49-F238E27FC236}">
              <a16:creationId xmlns:a16="http://schemas.microsoft.com/office/drawing/2014/main" id="{8D6E3E2F-1F79-4BA2-A66A-F072C0B3A5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26</xdr:col>
      <xdr:colOff>12080</xdr:colOff>
      <xdr:row>186</xdr:row>
      <xdr:rowOff>756</xdr:rowOff>
    </xdr:from>
    <xdr:to>
      <xdr:col>29</xdr:col>
      <xdr:colOff>369987</xdr:colOff>
      <xdr:row>199</xdr:row>
      <xdr:rowOff>150864</xdr:rowOff>
    </xdr:to>
    <mc:AlternateContent xmlns:mc="http://schemas.openxmlformats.org/markup-compatibility/2006" xmlns:sle15="http://schemas.microsoft.com/office/drawing/2012/slicer">
      <mc:Choice Requires="sle15">
        <xdr:graphicFrame macro="">
          <xdr:nvGraphicFramePr>
            <xdr:cNvPr id="3" name="Наблюдателей 2">
              <a:extLst>
                <a:ext uri="{FF2B5EF4-FFF2-40B4-BE49-F238E27FC236}">
                  <a16:creationId xmlns:a16="http://schemas.microsoft.com/office/drawing/2014/main" id="{DF2B51E4-5D87-404B-BA55-C493F8ED8DC3}"/>
                </a:ext>
              </a:extLst>
            </xdr:cNvPr>
            <xdr:cNvGraphicFramePr/>
          </xdr:nvGraphicFramePr>
          <xdr:xfrm>
            <a:off x="0" y="0"/>
            <a:ext cx="0" cy="0"/>
          </xdr:xfrm>
          <a:graphic>
            <a:graphicData uri="http://schemas.microsoft.com/office/drawing/2010/slicer">
              <sle:slicer xmlns:sle="http://schemas.microsoft.com/office/drawing/2010/slicer" name="Наблюдателей 2"/>
            </a:graphicData>
          </a:graphic>
        </xdr:graphicFrame>
      </mc:Choice>
      <mc:Fallback xmlns="">
        <xdr:sp macro="" textlink="">
          <xdr:nvSpPr>
            <xdr:cNvPr id="0" name=""/>
            <xdr:cNvSpPr>
              <a:spLocks noTextEdit="1"/>
            </xdr:cNvSpPr>
          </xdr:nvSpPr>
          <xdr:spPr>
            <a:xfrm>
              <a:off x="12334960" y="33707457"/>
              <a:ext cx="1649091" cy="250595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oneCell">
    <xdr:from>
      <xdr:col>26</xdr:col>
      <xdr:colOff>4530</xdr:colOff>
      <xdr:row>206</xdr:row>
      <xdr:rowOff>754</xdr:rowOff>
    </xdr:from>
    <xdr:to>
      <xdr:col>29</xdr:col>
      <xdr:colOff>362437</xdr:colOff>
      <xdr:row>211</xdr:row>
      <xdr:rowOff>30203</xdr:rowOff>
    </xdr:to>
    <mc:AlternateContent xmlns:mc="http://schemas.openxmlformats.org/markup-compatibility/2006" xmlns:sle15="http://schemas.microsoft.com/office/drawing/2012/slicer">
      <mc:Choice Requires="sle15">
        <xdr:graphicFrame macro="">
          <xdr:nvGraphicFramePr>
            <xdr:cNvPr id="6" name="КОИБ 2">
              <a:extLst>
                <a:ext uri="{FF2B5EF4-FFF2-40B4-BE49-F238E27FC236}">
                  <a16:creationId xmlns:a16="http://schemas.microsoft.com/office/drawing/2014/main" id="{8B285EC4-7056-4250-8418-6D301ABA3F0C}"/>
                </a:ext>
              </a:extLst>
            </xdr:cNvPr>
            <xdr:cNvGraphicFramePr/>
          </xdr:nvGraphicFramePr>
          <xdr:xfrm>
            <a:off x="0" y="0"/>
            <a:ext cx="0" cy="0"/>
          </xdr:xfrm>
          <a:graphic>
            <a:graphicData uri="http://schemas.microsoft.com/office/drawing/2010/slicer">
              <sle:slicer xmlns:sle="http://schemas.microsoft.com/office/drawing/2010/slicer" name="КОИБ 2"/>
            </a:graphicData>
          </a:graphic>
        </xdr:graphicFrame>
      </mc:Choice>
      <mc:Fallback xmlns="">
        <xdr:sp macro="" textlink="">
          <xdr:nvSpPr>
            <xdr:cNvPr id="0" name=""/>
            <xdr:cNvSpPr>
              <a:spLocks noTextEdit="1"/>
            </xdr:cNvSpPr>
          </xdr:nvSpPr>
          <xdr:spPr>
            <a:xfrm>
              <a:off x="10175437" y="37331833"/>
              <a:ext cx="1649091" cy="935543"/>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6.xml><?xml version="1.0" encoding="utf-8"?>
<c:userShapes xmlns:c="http://schemas.openxmlformats.org/drawingml/2006/chart">
  <cdr:relSizeAnchor xmlns:cdr="http://schemas.openxmlformats.org/drawingml/2006/chartDrawing">
    <cdr:from>
      <cdr:x>0.26518</cdr:x>
      <cdr:y>0.17964</cdr:y>
    </cdr:from>
    <cdr:to>
      <cdr:x>0.38117</cdr:x>
      <cdr:y>0.24188</cdr:y>
    </cdr:to>
    <cdr:sp macro="" textlink="">
      <cdr:nvSpPr>
        <cdr:cNvPr id="2" name="TextBox 1">
          <a:extLst xmlns:a="http://schemas.openxmlformats.org/drawingml/2006/main">
            <a:ext uri="{FF2B5EF4-FFF2-40B4-BE49-F238E27FC236}">
              <a16:creationId xmlns:a16="http://schemas.microsoft.com/office/drawing/2014/main" id="{4C9C30F0-CE3D-4FB2-98F1-62ED73554D83}"/>
            </a:ext>
          </a:extLst>
        </cdr:cNvPr>
        <cdr:cNvSpPr txBox="1"/>
      </cdr:nvSpPr>
      <cdr:spPr>
        <a:xfrm xmlns:a="http://schemas.openxmlformats.org/drawingml/2006/main">
          <a:off x="2653365" y="1228723"/>
          <a:ext cx="1160586" cy="425742"/>
        </a:xfrm>
        <a:prstGeom xmlns:a="http://schemas.openxmlformats.org/drawingml/2006/main" prst="rect">
          <a:avLst/>
        </a:prstGeom>
        <a:solidFill xmlns:a="http://schemas.openxmlformats.org/drawingml/2006/main">
          <a:srgbClr val="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ru-RU" sz="1100">
              <a:solidFill>
                <a:srgbClr val="777777"/>
              </a:solidFill>
              <a:effectLst/>
              <a:latin typeface="+mn-lt"/>
              <a:ea typeface="+mn-ea"/>
              <a:cs typeface="+mn-cs"/>
            </a:rPr>
            <a:t>3946,47</a:t>
          </a:r>
        </a:p>
        <a:p xmlns:a="http://schemas.openxmlformats.org/drawingml/2006/main">
          <a:r>
            <a:rPr lang="ru-RU" sz="1100">
              <a:solidFill>
                <a:srgbClr val="777777"/>
              </a:solidFill>
              <a:effectLst/>
              <a:latin typeface="+mn-lt"/>
              <a:ea typeface="+mn-ea"/>
              <a:cs typeface="+mn-cs"/>
            </a:rPr>
            <a:t>посёлок</a:t>
          </a:r>
          <a:r>
            <a:rPr lang="ru-RU" sz="1100" baseline="0">
              <a:solidFill>
                <a:srgbClr val="777777"/>
              </a:solidFill>
              <a:effectLst/>
              <a:latin typeface="+mn-lt"/>
              <a:ea typeface="+mn-ea"/>
              <a:cs typeface="+mn-cs"/>
            </a:rPr>
            <a:t> Барвиха</a:t>
          </a:r>
          <a:endParaRPr lang="en-US" sz="900">
            <a:solidFill>
              <a:srgbClr val="777777"/>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0.37324</cdr:x>
      <cdr:y>0.19165</cdr:y>
    </cdr:from>
    <cdr:to>
      <cdr:x>0.42946</cdr:x>
      <cdr:y>0.20821</cdr:y>
    </cdr:to>
    <cdr:cxnSp macro="">
      <cdr:nvCxnSpPr>
        <cdr:cNvPr id="3" name="Straight Connector 2">
          <a:extLst xmlns:a="http://schemas.openxmlformats.org/drawingml/2006/main">
            <a:ext uri="{FF2B5EF4-FFF2-40B4-BE49-F238E27FC236}">
              <a16:creationId xmlns:a16="http://schemas.microsoft.com/office/drawing/2014/main" id="{3DD944CE-912B-4F8B-BEEE-C772362C6B3D}"/>
            </a:ext>
          </a:extLst>
        </cdr:cNvPr>
        <cdr:cNvCxnSpPr/>
      </cdr:nvCxnSpPr>
      <cdr:spPr>
        <a:xfrm xmlns:a="http://schemas.openxmlformats.org/drawingml/2006/main" flipV="1">
          <a:off x="3734668" y="1310904"/>
          <a:ext cx="562533" cy="113263"/>
        </a:xfrm>
        <a:prstGeom xmlns:a="http://schemas.openxmlformats.org/drawingml/2006/main" prst="line">
          <a:avLst/>
        </a:prstGeom>
        <a:ln xmlns:a="http://schemas.openxmlformats.org/drawingml/2006/main" w="6350">
          <a:solidFill>
            <a:srgbClr val="777777"/>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0.37338</cdr:x>
      <cdr:y>0.20821</cdr:y>
    </cdr:from>
    <cdr:to>
      <cdr:x>0.4279</cdr:x>
      <cdr:y>0.23029</cdr:y>
    </cdr:to>
    <cdr:cxnSp macro="">
      <cdr:nvCxnSpPr>
        <cdr:cNvPr id="6" name="Straight Connector 5">
          <a:extLst xmlns:a="http://schemas.openxmlformats.org/drawingml/2006/main">
            <a:ext uri="{FF2B5EF4-FFF2-40B4-BE49-F238E27FC236}">
              <a16:creationId xmlns:a16="http://schemas.microsoft.com/office/drawing/2014/main" id="{D29ABAF7-C70D-4389-946E-942BF28E97A0}"/>
            </a:ext>
          </a:extLst>
        </cdr:cNvPr>
        <cdr:cNvCxnSpPr/>
      </cdr:nvCxnSpPr>
      <cdr:spPr>
        <a:xfrm xmlns:a="http://schemas.openxmlformats.org/drawingml/2006/main">
          <a:off x="3723342" y="1424167"/>
          <a:ext cx="543656" cy="151016"/>
        </a:xfrm>
        <a:prstGeom xmlns:a="http://schemas.openxmlformats.org/drawingml/2006/main" prst="line">
          <a:avLst/>
        </a:prstGeom>
        <a:ln xmlns:a="http://schemas.openxmlformats.org/drawingml/2006/main" w="6350">
          <a:solidFill>
            <a:srgbClr val="777777"/>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editAs="oneCell">
    <xdr:from>
      <xdr:col>5</xdr:col>
      <xdr:colOff>14293</xdr:colOff>
      <xdr:row>186</xdr:row>
      <xdr:rowOff>10481</xdr:rowOff>
    </xdr:from>
    <xdr:to>
      <xdr:col>25</xdr:col>
      <xdr:colOff>343942</xdr:colOff>
      <xdr:row>223</xdr:row>
      <xdr:rowOff>145385</xdr:rowOff>
    </xdr:to>
    <xdr:graphicFrame macro="">
      <xdr:nvGraphicFramePr>
        <xdr:cNvPr id="2" name="Chart 1">
          <a:extLst>
            <a:ext uri="{FF2B5EF4-FFF2-40B4-BE49-F238E27FC236}">
              <a16:creationId xmlns:a16="http://schemas.microsoft.com/office/drawing/2014/main" id="{24622BC2-FBA1-4074-BBFD-9AB454268F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27</xdr:col>
      <xdr:colOff>11323</xdr:colOff>
      <xdr:row>186</xdr:row>
      <xdr:rowOff>755</xdr:rowOff>
    </xdr:from>
    <xdr:to>
      <xdr:col>30</xdr:col>
      <xdr:colOff>354883</xdr:colOff>
      <xdr:row>199</xdr:row>
      <xdr:rowOff>150864</xdr:rowOff>
    </xdr:to>
    <mc:AlternateContent xmlns:mc="http://schemas.openxmlformats.org/markup-compatibility/2006" xmlns:sle15="http://schemas.microsoft.com/office/drawing/2012/slicer">
      <mc:Choice Requires="sle15">
        <xdr:graphicFrame macro="">
          <xdr:nvGraphicFramePr>
            <xdr:cNvPr id="3" name="Наблюдателей 3">
              <a:extLst>
                <a:ext uri="{FF2B5EF4-FFF2-40B4-BE49-F238E27FC236}">
                  <a16:creationId xmlns:a16="http://schemas.microsoft.com/office/drawing/2014/main" id="{D19BCD00-1A21-449D-87F7-EFB404478666}"/>
                </a:ext>
              </a:extLst>
            </xdr:cNvPr>
            <xdr:cNvGraphicFramePr/>
          </xdr:nvGraphicFramePr>
          <xdr:xfrm>
            <a:off x="0" y="0"/>
            <a:ext cx="0" cy="0"/>
          </xdr:xfrm>
          <a:graphic>
            <a:graphicData uri="http://schemas.microsoft.com/office/drawing/2010/slicer">
              <sle:slicer xmlns:sle="http://schemas.microsoft.com/office/drawing/2010/slicer" name="Наблюдателей 3"/>
            </a:graphicData>
          </a:graphic>
        </xdr:graphicFrame>
      </mc:Choice>
      <mc:Fallback xmlns="">
        <xdr:sp macro="" textlink="">
          <xdr:nvSpPr>
            <xdr:cNvPr id="0" name=""/>
            <xdr:cNvSpPr>
              <a:spLocks noTextEdit="1"/>
            </xdr:cNvSpPr>
          </xdr:nvSpPr>
          <xdr:spPr>
            <a:xfrm>
              <a:off x="12432363" y="906849"/>
              <a:ext cx="1634745" cy="250595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oneCell">
    <xdr:from>
      <xdr:col>27</xdr:col>
      <xdr:colOff>4530</xdr:colOff>
      <xdr:row>206</xdr:row>
      <xdr:rowOff>5287</xdr:rowOff>
    </xdr:from>
    <xdr:to>
      <xdr:col>30</xdr:col>
      <xdr:colOff>354886</xdr:colOff>
      <xdr:row>211</xdr:row>
      <xdr:rowOff>15103</xdr:rowOff>
    </xdr:to>
    <mc:AlternateContent xmlns:mc="http://schemas.openxmlformats.org/markup-compatibility/2006" xmlns:sle15="http://schemas.microsoft.com/office/drawing/2012/slicer">
      <mc:Choice Requires="sle15">
        <xdr:graphicFrame macro="">
          <xdr:nvGraphicFramePr>
            <xdr:cNvPr id="4" name="КОИБ 3">
              <a:extLst>
                <a:ext uri="{FF2B5EF4-FFF2-40B4-BE49-F238E27FC236}">
                  <a16:creationId xmlns:a16="http://schemas.microsoft.com/office/drawing/2014/main" id="{DFE73B68-D735-4D34-B5E0-ABB5602BC4BA}"/>
                </a:ext>
              </a:extLst>
            </xdr:cNvPr>
            <xdr:cNvGraphicFramePr/>
          </xdr:nvGraphicFramePr>
          <xdr:xfrm>
            <a:off x="0" y="0"/>
            <a:ext cx="0" cy="0"/>
          </xdr:xfrm>
          <a:graphic>
            <a:graphicData uri="http://schemas.microsoft.com/office/drawing/2010/slicer">
              <sle:slicer xmlns:sle="http://schemas.microsoft.com/office/drawing/2010/slicer" name="КОИБ 3"/>
            </a:graphicData>
          </a:graphic>
        </xdr:graphicFrame>
      </mc:Choice>
      <mc:Fallback xmlns="">
        <xdr:sp macro="" textlink="">
          <xdr:nvSpPr>
            <xdr:cNvPr id="0" name=""/>
            <xdr:cNvSpPr>
              <a:spLocks noTextEdit="1"/>
            </xdr:cNvSpPr>
          </xdr:nvSpPr>
          <xdr:spPr>
            <a:xfrm>
              <a:off x="10507671" y="32805894"/>
              <a:ext cx="1641541" cy="91591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8.xml><?xml version="1.0" encoding="utf-8"?>
<c:userShapes xmlns:c="http://schemas.openxmlformats.org/drawingml/2006/chart">
  <cdr:relSizeAnchor xmlns:cdr="http://schemas.openxmlformats.org/drawingml/2006/chartDrawing">
    <cdr:from>
      <cdr:x>0.26592</cdr:x>
      <cdr:y>0.17911</cdr:y>
    </cdr:from>
    <cdr:to>
      <cdr:x>0.38191</cdr:x>
      <cdr:y>0.24135</cdr:y>
    </cdr:to>
    <cdr:sp macro="" textlink="">
      <cdr:nvSpPr>
        <cdr:cNvPr id="2" name="TextBox 1">
          <a:extLst xmlns:a="http://schemas.openxmlformats.org/drawingml/2006/main">
            <a:ext uri="{FF2B5EF4-FFF2-40B4-BE49-F238E27FC236}">
              <a16:creationId xmlns:a16="http://schemas.microsoft.com/office/drawing/2014/main" id="{C32C8408-9E0E-4209-98B6-87C83E0ABB4F}"/>
            </a:ext>
          </a:extLst>
        </cdr:cNvPr>
        <cdr:cNvSpPr txBox="1"/>
      </cdr:nvSpPr>
      <cdr:spPr>
        <a:xfrm xmlns:a="http://schemas.openxmlformats.org/drawingml/2006/main">
          <a:off x="2658156" y="1219192"/>
          <a:ext cx="1159427" cy="423696"/>
        </a:xfrm>
        <a:prstGeom xmlns:a="http://schemas.openxmlformats.org/drawingml/2006/main" prst="rect">
          <a:avLst/>
        </a:prstGeom>
        <a:solidFill xmlns:a="http://schemas.openxmlformats.org/drawingml/2006/main">
          <a:srgbClr val="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ru-RU" sz="1100">
              <a:solidFill>
                <a:srgbClr val="777777"/>
              </a:solidFill>
              <a:effectLst/>
              <a:latin typeface="+mn-lt"/>
              <a:ea typeface="+mn-ea"/>
              <a:cs typeface="+mn-cs"/>
            </a:rPr>
            <a:t>3946,47</a:t>
          </a:r>
        </a:p>
        <a:p xmlns:a="http://schemas.openxmlformats.org/drawingml/2006/main">
          <a:r>
            <a:rPr lang="ru-RU" sz="1100">
              <a:solidFill>
                <a:srgbClr val="777777"/>
              </a:solidFill>
              <a:effectLst/>
              <a:latin typeface="+mn-lt"/>
              <a:ea typeface="+mn-ea"/>
              <a:cs typeface="+mn-cs"/>
            </a:rPr>
            <a:t>посёлок</a:t>
          </a:r>
          <a:r>
            <a:rPr lang="ru-RU" sz="1100" baseline="0">
              <a:solidFill>
                <a:srgbClr val="777777"/>
              </a:solidFill>
              <a:effectLst/>
              <a:latin typeface="+mn-lt"/>
              <a:ea typeface="+mn-ea"/>
              <a:cs typeface="+mn-cs"/>
            </a:rPr>
            <a:t> Барвиха</a:t>
          </a:r>
          <a:endParaRPr lang="en-US" sz="900">
            <a:solidFill>
              <a:srgbClr val="777777"/>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0.32392</cdr:x>
      <cdr:y>0.24135</cdr:y>
    </cdr:from>
    <cdr:to>
      <cdr:x>0.4191</cdr:x>
      <cdr:y>0.58355</cdr:y>
    </cdr:to>
    <cdr:cxnSp macro="">
      <cdr:nvCxnSpPr>
        <cdr:cNvPr id="3" name="Straight Connector 2">
          <a:extLst xmlns:a="http://schemas.openxmlformats.org/drawingml/2006/main">
            <a:ext uri="{FF2B5EF4-FFF2-40B4-BE49-F238E27FC236}">
              <a16:creationId xmlns:a16="http://schemas.microsoft.com/office/drawing/2014/main" id="{D66057B0-B3F4-4667-AC27-A5F213931918}"/>
            </a:ext>
          </a:extLst>
        </cdr:cNvPr>
        <cdr:cNvCxnSpPr>
          <a:stCxn xmlns:a="http://schemas.openxmlformats.org/drawingml/2006/main" id="2" idx="2"/>
        </cdr:cNvCxnSpPr>
      </cdr:nvCxnSpPr>
      <cdr:spPr>
        <a:xfrm xmlns:a="http://schemas.openxmlformats.org/drawingml/2006/main">
          <a:off x="3237870" y="1642888"/>
          <a:ext cx="951403" cy="2329447"/>
        </a:xfrm>
        <a:prstGeom xmlns:a="http://schemas.openxmlformats.org/drawingml/2006/main" prst="line">
          <a:avLst/>
        </a:prstGeom>
        <a:ln xmlns:a="http://schemas.openxmlformats.org/drawingml/2006/main" w="6350">
          <a:solidFill>
            <a:srgbClr val="777777"/>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0.32392</cdr:x>
      <cdr:y>0.24135</cdr:y>
    </cdr:from>
    <cdr:to>
      <cdr:x>0.42532</cdr:x>
      <cdr:y>0.55295</cdr:y>
    </cdr:to>
    <cdr:cxnSp macro="">
      <cdr:nvCxnSpPr>
        <cdr:cNvPr id="4" name="Straight Connector 3">
          <a:extLst xmlns:a="http://schemas.openxmlformats.org/drawingml/2006/main">
            <a:ext uri="{FF2B5EF4-FFF2-40B4-BE49-F238E27FC236}">
              <a16:creationId xmlns:a16="http://schemas.microsoft.com/office/drawing/2014/main" id="{5D3AB4C2-6B0E-4417-A774-21555860BFB6}"/>
            </a:ext>
          </a:extLst>
        </cdr:cNvPr>
        <cdr:cNvCxnSpPr>
          <a:endCxn xmlns:a="http://schemas.openxmlformats.org/drawingml/2006/main" id="2" idx="2"/>
        </cdr:cNvCxnSpPr>
      </cdr:nvCxnSpPr>
      <cdr:spPr>
        <a:xfrm xmlns:a="http://schemas.openxmlformats.org/drawingml/2006/main" flipH="1" flipV="1">
          <a:off x="3237870" y="1642888"/>
          <a:ext cx="1013586" cy="2121134"/>
        </a:xfrm>
        <a:prstGeom xmlns:a="http://schemas.openxmlformats.org/drawingml/2006/main" prst="line">
          <a:avLst/>
        </a:prstGeom>
        <a:ln xmlns:a="http://schemas.openxmlformats.org/drawingml/2006/main" w="6350">
          <a:solidFill>
            <a:srgbClr val="777777"/>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twoCellAnchor editAs="oneCell">
    <xdr:from>
      <xdr:col>5</xdr:col>
      <xdr:colOff>14293</xdr:colOff>
      <xdr:row>186</xdr:row>
      <xdr:rowOff>10481</xdr:rowOff>
    </xdr:from>
    <xdr:to>
      <xdr:col>26</xdr:col>
      <xdr:colOff>147620</xdr:colOff>
      <xdr:row>223</xdr:row>
      <xdr:rowOff>145384</xdr:rowOff>
    </xdr:to>
    <xdr:graphicFrame macro="">
      <xdr:nvGraphicFramePr>
        <xdr:cNvPr id="2" name="Chart 1">
          <a:extLst>
            <a:ext uri="{FF2B5EF4-FFF2-40B4-BE49-F238E27FC236}">
              <a16:creationId xmlns:a16="http://schemas.microsoft.com/office/drawing/2014/main" id="{9B1DF931-F663-40DD-BEEF-C4860B7922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27</xdr:col>
      <xdr:colOff>11323</xdr:colOff>
      <xdr:row>186</xdr:row>
      <xdr:rowOff>755</xdr:rowOff>
    </xdr:from>
    <xdr:to>
      <xdr:col>30</xdr:col>
      <xdr:colOff>354884</xdr:colOff>
      <xdr:row>199</xdr:row>
      <xdr:rowOff>150864</xdr:rowOff>
    </xdr:to>
    <mc:AlternateContent xmlns:mc="http://schemas.openxmlformats.org/markup-compatibility/2006" xmlns:sle15="http://schemas.microsoft.com/office/drawing/2012/slicer">
      <mc:Choice Requires="sle15">
        <xdr:graphicFrame macro="">
          <xdr:nvGraphicFramePr>
            <xdr:cNvPr id="3" name="Наблюдателей 4">
              <a:extLst>
                <a:ext uri="{FF2B5EF4-FFF2-40B4-BE49-F238E27FC236}">
                  <a16:creationId xmlns:a16="http://schemas.microsoft.com/office/drawing/2014/main" id="{DA64D90B-6717-4D6C-B017-85257C24670B}"/>
                </a:ext>
              </a:extLst>
            </xdr:cNvPr>
            <xdr:cNvGraphicFramePr/>
          </xdr:nvGraphicFramePr>
          <xdr:xfrm>
            <a:off x="0" y="0"/>
            <a:ext cx="0" cy="0"/>
          </xdr:xfrm>
          <a:graphic>
            <a:graphicData uri="http://schemas.microsoft.com/office/drawing/2010/slicer">
              <sle:slicer xmlns:sle="http://schemas.microsoft.com/office/drawing/2010/slicer" name="Наблюдателей 4"/>
            </a:graphicData>
          </a:graphic>
        </xdr:graphicFrame>
      </mc:Choice>
      <mc:Fallback xmlns="">
        <xdr:sp macro="" textlink="">
          <xdr:nvSpPr>
            <xdr:cNvPr id="0" name=""/>
            <xdr:cNvSpPr>
              <a:spLocks noTextEdit="1"/>
            </xdr:cNvSpPr>
          </xdr:nvSpPr>
          <xdr:spPr>
            <a:xfrm>
              <a:off x="12432363" y="5256101"/>
              <a:ext cx="1634745" cy="250595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oneCell">
    <xdr:from>
      <xdr:col>27</xdr:col>
      <xdr:colOff>4532</xdr:colOff>
      <xdr:row>204</xdr:row>
      <xdr:rowOff>8306</xdr:rowOff>
    </xdr:from>
    <xdr:to>
      <xdr:col>30</xdr:col>
      <xdr:colOff>354887</xdr:colOff>
      <xdr:row>209</xdr:row>
      <xdr:rowOff>15102</xdr:rowOff>
    </xdr:to>
    <mc:AlternateContent xmlns:mc="http://schemas.openxmlformats.org/markup-compatibility/2006" xmlns:sle15="http://schemas.microsoft.com/office/drawing/2012/slicer">
      <mc:Choice Requires="sle15">
        <xdr:graphicFrame macro="">
          <xdr:nvGraphicFramePr>
            <xdr:cNvPr id="5" name="КОИБ 4">
              <a:extLst>
                <a:ext uri="{FF2B5EF4-FFF2-40B4-BE49-F238E27FC236}">
                  <a16:creationId xmlns:a16="http://schemas.microsoft.com/office/drawing/2014/main" id="{5144E6D7-0DA3-4DE6-96DC-AE4CE0BB1B7E}"/>
                </a:ext>
              </a:extLst>
            </xdr:cNvPr>
            <xdr:cNvGraphicFramePr/>
          </xdr:nvGraphicFramePr>
          <xdr:xfrm>
            <a:off x="0" y="0"/>
            <a:ext cx="0" cy="0"/>
          </xdr:xfrm>
          <a:graphic>
            <a:graphicData uri="http://schemas.microsoft.com/office/drawing/2010/slicer">
              <sle:slicer xmlns:sle="http://schemas.microsoft.com/office/drawing/2010/slicer" name="КОИБ 4"/>
            </a:graphicData>
          </a:graphic>
        </xdr:graphicFrame>
      </mc:Choice>
      <mc:Fallback xmlns="">
        <xdr:sp macro="" textlink="">
          <xdr:nvSpPr>
            <xdr:cNvPr id="0" name=""/>
            <xdr:cNvSpPr>
              <a:spLocks noTextEdit="1"/>
            </xdr:cNvSpPr>
          </xdr:nvSpPr>
          <xdr:spPr>
            <a:xfrm>
              <a:off x="10273599" y="8525590"/>
              <a:ext cx="1641539" cy="91289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Наблюдателей" xr10:uid="{604F1712-144F-4E69-94A9-5433135F9BF5}" sourceName="Наблюдателей">
  <extLst>
    <x:ext xmlns:x15="http://schemas.microsoft.com/office/spreadsheetml/2010/11/main" uri="{2F2917AC-EB37-4324-AD4E-5DD8C200BD13}">
      <x15:tableSlicerCache tableId="1" column="52"/>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КОИБ4" xr10:uid="{8C0E2E13-1F37-419E-9CE1-BEF25A9EC748}" sourceName="КОИБ">
  <extLst>
    <x:ext xmlns:x15="http://schemas.microsoft.com/office/spreadsheetml/2010/11/main" uri="{2F2917AC-EB37-4324-AD4E-5DD8C200BD13}">
      <x15:tableSlicerCache tableId="6" column="4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Наблюдателей1" xr10:uid="{0FB76C07-2116-48AA-A22C-9B5A6B3FF4B0}" sourceName="Наблюдателей">
  <extLst>
    <x:ext xmlns:x15="http://schemas.microsoft.com/office/spreadsheetml/2010/11/main" uri="{2F2917AC-EB37-4324-AD4E-5DD8C200BD13}">
      <x15:tableSlicerCache tableId="2" column="48"/>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Наблюдателей2" xr10:uid="{B02E2E4D-066D-40D6-BC33-42547B1E400C}" sourceName="Наблюдателей">
  <extLst>
    <x:ext xmlns:x15="http://schemas.microsoft.com/office/spreadsheetml/2010/11/main" uri="{2F2917AC-EB37-4324-AD4E-5DD8C200BD13}">
      <x15:tableSlicerCache tableId="3" column="4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Наблюдателей3" xr10:uid="{2167E1AE-16B3-44E4-B0FF-DADFF29E0314}" sourceName="Наблюдателей">
  <extLst>
    <x:ext xmlns:x15="http://schemas.microsoft.com/office/spreadsheetml/2010/11/main" uri="{2F2917AC-EB37-4324-AD4E-5DD8C200BD13}">
      <x15:tableSlicerCache tableId="4" column="36"/>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Наблюдателей31" xr10:uid="{49657FE9-D671-4956-8524-4E1F1399BFEB}" sourceName="Наблюдателей">
  <extLst>
    <x:ext xmlns:x15="http://schemas.microsoft.com/office/spreadsheetml/2010/11/main" uri="{2F2917AC-EB37-4324-AD4E-5DD8C200BD13}">
      <x15:tableSlicerCache tableId="6" column="36"/>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КОИБ" xr10:uid="{C5FB57C9-08B4-4874-97A4-3678BA254CE1}" sourceName="КОИБ">
  <extLst>
    <x:ext xmlns:x15="http://schemas.microsoft.com/office/spreadsheetml/2010/11/main" uri="{2F2917AC-EB37-4324-AD4E-5DD8C200BD13}">
      <x15:tableSlicerCache tableId="1" column="60"/>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КОИБ1" xr10:uid="{84686CDE-4A6D-4E1F-BFF7-8DE83F4838BE}" sourceName="КОИБ">
  <extLst>
    <x:ext xmlns:x15="http://schemas.microsoft.com/office/spreadsheetml/2010/11/main" uri="{2F2917AC-EB37-4324-AD4E-5DD8C200BD13}">
      <x15:tableSlicerCache tableId="2" column="51"/>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КОИБ2" xr10:uid="{CB8377BA-FF6F-486F-A615-91539C48C2C0}" sourceName="КОИБ">
  <extLst>
    <x:ext xmlns:x15="http://schemas.microsoft.com/office/spreadsheetml/2010/11/main" uri="{2F2917AC-EB37-4324-AD4E-5DD8C200BD13}">
      <x15:tableSlicerCache tableId="3" column="52"/>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КОИБ3" xr10:uid="{2533DE3E-0AC2-40EC-9565-AE78227E560E}" sourceName="КОИБ">
  <extLst>
    <x:ext xmlns:x15="http://schemas.microsoft.com/office/spreadsheetml/2010/11/main" uri="{2F2917AC-EB37-4324-AD4E-5DD8C200BD13}">
      <x15:tableSlicerCache tableId="4" column="4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Наблюдателей" xr10:uid="{4870E994-EBAD-4F6F-B070-80A086C47578}" cache="Slicer_Наблюдателей" caption="Наблюдателей" rowHeight="239281"/>
  <slicer name="КОИБ" xr10:uid="{303531FF-28CF-46D3-9920-C1CD0969D70C}" cache="Slicer_КОИБ" caption="КОИБ" rowHeight="239281"/>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Наблюдателей 1" xr10:uid="{65557DAD-1753-4939-9757-D74669441AFD}" cache="Slicer_Наблюдателей1" caption="Наблюдателей" rowHeight="239281"/>
  <slicer name="КОИБ 1" xr10:uid="{29F6D7C4-C6F8-4D71-AF8A-79F22085DEDE}" cache="Slicer_КОИБ1" caption="КОИБ" rowHeight="239281"/>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Наблюдателей 2" xr10:uid="{CC7D94A2-F3EA-40E3-A73D-F03E6248DD7F}" cache="Slicer_Наблюдателей2" caption="Наблюдателей" rowHeight="239281"/>
  <slicer name="КОИБ 2" xr10:uid="{623F8102-7BA7-4A5D-8F1F-A4D1C1BF3CC5}" cache="Slicer_КОИБ2" caption="КОИБ" rowHeight="239281"/>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Наблюдателей 3" xr10:uid="{F5B4CE39-375E-4A50-BDC8-CEE9BFEDFC19}" cache="Slicer_Наблюдателей3" caption="Наблюдателей" rowHeight="239281"/>
  <slicer name="КОИБ 3" xr10:uid="{778BCA26-13E4-477E-A49D-3D0353DCB2CE}" cache="Slicer_КОИБ3" caption="КОИБ" rowHeight="239281"/>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Наблюдателей 4" xr10:uid="{ED9A7463-5899-4A3C-9B19-65F5F2E685C0}" cache="Slicer_Наблюдателей31" caption="Наблюдателей" rowHeight="239281"/>
  <slicer name="КОИБ 4" xr10:uid="{0572F8EB-4036-4660-B897-1513F9C9A96A}" cache="Slicer_КОИБ4" caption="КОИБ" rowHeight="239281"/>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65194-A83C-43D5-8B4D-02458167851C}" name="Дума_партии" displayName="Дума_партии" ref="A1:BH184" totalsRowCount="1" headerRowDxfId="540" dataDxfId="539" totalsRowDxfId="538">
  <autoFilter ref="A1:BH183" xr:uid="{05856A0A-FAEC-4712-B32A-2BDAF6280669}"/>
  <tableColumns count="60">
    <tableColumn id="1" xr3:uid="{59BEAA96-D4C2-4189-9C05-9123BFDAA82B}" name="level" totalsRowLabel="Total" dataDxfId="537" totalsRowDxfId="536"/>
    <tableColumn id="2" xr3:uid="{6047D845-F462-4225-BF3E-959FCEA41058}" name="reg" dataDxfId="535" totalsRowDxfId="534"/>
    <tableColumn id="3" xr3:uid="{C1A6765A-C916-4B63-9189-5120A7E1663C}" name="oik" dataDxfId="533" totalsRowDxfId="532"/>
    <tableColumn id="4" xr3:uid="{ED6DC674-DFD6-48DF-A77E-4FD59E922B59}" name="tik" dataDxfId="531" totalsRowDxfId="530"/>
    <tableColumn id="5" xr3:uid="{2A6050EF-5C81-4FFB-AEE7-460AE14D79B2}" name="uik" dataDxfId="529" totalsRowDxfId="528"/>
    <tableColumn id="53" xr3:uid="{1E4D688C-F53F-4EC9-8F6F-84DF7B6A0BA4}" name="УИК" totalsRowFunction="count" dataDxfId="527" totalsRowDxfId="526">
      <calculatedColumnFormula>SUMPRODUCT(MID(0&amp;E2, LARGE(INDEX(ISNUMBER(--MID(E2, ROW(INDIRECT("1:"&amp;LEN(E2))), 1)) * ROW(INDIRECT("1:"&amp;LEN(E2))), 0), ROW(INDIRECT("1:"&amp;LEN(E2))))+1, 1) * 10^ROW(INDIRECT("1:"&amp;LEN(E2)))/10)</calculatedColumnFormula>
    </tableColumn>
    <tableColumn id="54" xr3:uid="{E46467DB-4F1C-4895-B50E-5ED1322971CC}" name="Местоположение" dataDxfId="525" totalsRowDxfId="524"/>
    <tableColumn id="59" xr3:uid="{58227B92-05C2-45F8-8C6C-F9BF030DAD17}" name="ТИК" dataDxfId="523" totalsRowDxfId="522">
      <calculatedColumnFormula>LEFT(Дума_партии[[#This Row],[tik]],4)&amp;"."&amp;IF(ISNUMBER(VALUE(RIGHT(Дума_партии[[#This Row],[tik]]))),RIGHT(Дума_партии[[#This Row],[tik]]),"")</calculatedColumnFormula>
    </tableColumn>
    <tableColumn id="55" xr3:uid="{3EFF82BE-B255-4E37-9F4B-45233E8F5A25}" name="Число избирателей, внесенных в список избирателей на момент окончания голосования" totalsRowFunction="sum" dataDxfId="521" totalsRowDxfId="520"/>
    <tableColumn id="6" xr3:uid="{E8018E0B-44FB-4536-AE01-4E4AE57DA0C0}" name="Вес участка" dataDxfId="519" totalsRowDxfId="518">
      <calculatedColumnFormula>Дума_партии[[#This Row],[Число избирателей, внесенных в список избирателей на момент окончания голосования]]</calculatedColumnFormula>
    </tableColumn>
    <tableColumn id="7" xr3:uid="{DEAF36C3-1D98-466F-B462-D38B34D5985D}" name="Число избирательных бюллетеней, полученных участковой избирательной комиссией" dataDxfId="517" totalsRowDxfId="516"/>
    <tableColumn id="8" xr3:uid="{473E6BA2-DC2E-4C3E-A4DA-2650C83B3236}" name="Число избирательных бюллетеней, выданных избирателям, проголосовавшим досрочно" dataDxfId="515" totalsRowDxfId="514"/>
    <tableColumn id="9" xr3:uid="{610FC870-2A77-4709-9203-B06CB1C29131}" name="Число избирательных бюллетеней, выданных в помещении для голосования в день голосования" totalsRowFunction="sum" dataDxfId="513" totalsRowDxfId="512"/>
    <tableColumn id="10" xr3:uid="{8C282686-E0C9-462C-82E3-361A45929242}" name="Число избирательных бюллетеней, выданных вне помещения для голосования в день голосования" totalsRowFunction="sum" dataDxfId="511" totalsRowDxfId="510"/>
    <tableColumn id="11" xr3:uid="{8CE6412A-754E-4869-AFFF-D56A889AF343}" name="Явка" dataDxfId="509" totalsRowDxfId="508">
      <calculatedColumnFormula>100*(M2+N2)/I2</calculatedColumnFormula>
    </tableColumn>
    <tableColumn id="12" xr3:uid="{C733E203-3629-4E30-A430-07DD4D570089}" name="Надомка от списка" dataDxfId="507" totalsRowDxfId="506">
      <calculatedColumnFormula>100*N2/I2</calculatedColumnFormula>
    </tableColumn>
    <tableColumn id="13" xr3:uid="{091465D6-60C4-4F11-A31C-BB37E3251321}" name="Число погашенных избирательных бюллетеней" dataDxfId="505" totalsRowDxfId="504"/>
    <tableColumn id="14" xr3:uid="{A9DB7673-8EA2-420D-AED4-162858654386}" name="Число избирательных бюллетеней, содержащихся в переносных ящиках для голосования" dataDxfId="503" totalsRowDxfId="502"/>
    <tableColumn id="15" xr3:uid="{E5553EB8-F322-45A5-BE51-163147742ED9}" name="Число избирательных бюллетеней, содержащихся в стационарных ящиках для голосования" dataDxfId="501" totalsRowDxfId="500"/>
    <tableColumn id="16" xr3:uid="{946FC9F2-5450-4932-9EA6-5BED8B9846C5}" name="Обнаружено" totalsRowFunction="sum" dataDxfId="499" totalsRowDxfId="498">
      <calculatedColumnFormula>R2+S2</calculatedColumnFormula>
    </tableColumn>
    <tableColumn id="17" xr3:uid="{3CD0319C-2995-4B3A-A0C9-5BE7DC962C4B}" name="Надомка" dataDxfId="497" totalsRowDxfId="496">
      <calculatedColumnFormula>100*R2/T2</calculatedColumnFormula>
    </tableColumn>
    <tableColumn id="18" xr3:uid="{2505FD43-989D-45F6-B197-7F088BF8D271}" name="Число недействительных избирательных бюллетеней" dataDxfId="495" totalsRowDxfId="494"/>
    <tableColumn id="19" xr3:uid="{73E6E3E4-A8B9-4949-BDDE-E37B3537B4B1}" name="Недействительных" dataDxfId="493" totalsRowDxfId="492">
      <calculatedColumnFormula>100*V2/T2</calculatedColumnFormula>
    </tableColumn>
    <tableColumn id="20" xr3:uid="{42695399-8C01-4685-8869-201F7E9A8D97}" name="Число действительных избирательных бюллетеней" totalsRowFunction="sum" dataDxfId="491" totalsRowDxfId="490"/>
    <tableColumn id="21" xr3:uid="{0F179EB1-AA63-42B2-BD99-F58FA8E4286E}" name="Число утраченных избирательных бюллетеней" dataDxfId="489" totalsRowDxfId="488"/>
    <tableColumn id="22" xr3:uid="{F469BE7C-D4A3-4B79-AD56-2B1D633814C2}" name="Число избирательных бюллетеней, не учтенных при получении" dataDxfId="487" totalsRowDxfId="486"/>
    <tableColumn id="23" xr3:uid="{1DB4698B-D1A5-4BC3-B9B7-9269EF41A2BC}" name="1. Политическая партия &quot;КОММУНИСТИЧЕСКАЯ ПАРТИЯ РОССИЙСКОЙ ФЕДЕРАЦИИ&quot;" totalsRowFunction="sum" dataDxfId="485" totalsRowDxfId="484"/>
    <tableColumn id="24" xr3:uid="{6F17FF05-4A4E-4BF3-9C93-F915A524BB09}" name="КПРФ" dataDxfId="483" totalsRowDxfId="482">
      <calculatedColumnFormula>100*AA2/$T2</calculatedColumnFormula>
    </tableColumn>
    <tableColumn id="25" xr3:uid="{A8714783-B71E-4699-BD98-05D3C784C646}" name="2. Политическая партия &quot;Российская экологическая партия &quot;ЗЕЛЁНЫЕ&quot;" totalsRowFunction="sum" dataDxfId="481" totalsRowDxfId="480"/>
    <tableColumn id="26" xr3:uid="{F1B45DAF-A9C6-4940-9EF0-370C7BEC1DA8}" name="Экол. зеленые" dataDxfId="479" totalsRowDxfId="478">
      <calculatedColumnFormula>100*AC2/$T2</calculatedColumnFormula>
    </tableColumn>
    <tableColumn id="27" xr3:uid="{D1F0CD18-6504-4AE5-B550-912A53C46B6A}" name="3. Политическая партия ЛДПР – Либерально-демократическая партия России" totalsRowFunction="sum" dataDxfId="477" totalsRowDxfId="476"/>
    <tableColumn id="28" xr3:uid="{5388319A-02C1-4647-B501-12C52976F649}" name="ЛДПР" dataDxfId="475" totalsRowDxfId="474">
      <calculatedColumnFormula>100*AE2/$T2</calculatedColumnFormula>
    </tableColumn>
    <tableColumn id="29" xr3:uid="{B79C44B7-2AD8-4A9B-8AE7-48BF53DB4EB4}" name="4. Политическая партия &quot;НОВЫЕ ЛЮДИ&quot;" totalsRowFunction="sum" dataDxfId="473" totalsRowDxfId="472"/>
    <tableColumn id="30" xr3:uid="{DE3444C3-02D6-4B65-A78F-0F582A5CCD05}" name="Новые люди" dataDxfId="471" totalsRowDxfId="470">
      <calculatedColumnFormula>100*AG2/$T2</calculatedColumnFormula>
    </tableColumn>
    <tableColumn id="31" xr3:uid="{D9D7319A-2E09-48CF-A7FD-BB31187023D6}" name="5. Всероссийская политическая партия &quot;ЕДИНАЯ РОССИЯ&quot;" totalsRowFunction="sum" dataDxfId="469" totalsRowDxfId="468"/>
    <tableColumn id="32" xr3:uid="{813A2C10-9F6C-4F11-93C6-B89C76AEC73E}" name="Единая Россия" dataDxfId="467" totalsRowDxfId="466">
      <calculatedColumnFormula>100*AI2/$T2</calculatedColumnFormula>
    </tableColumn>
    <tableColumn id="33" xr3:uid="{DDE51049-69B0-4148-AB15-23A816125A8C}" name="6. Партия СПРАВЕДЛИВАЯ РОССИЯ – ЗА ПРАВДУ" totalsRowFunction="sum" dataDxfId="465" totalsRowDxfId="464"/>
    <tableColumn id="34" xr3:uid="{3E2B0A7C-428E-4273-9324-D0476684866E}" name="СР" dataDxfId="463" totalsRowDxfId="462">
      <calculatedColumnFormula>100*AK2/$T2</calculatedColumnFormula>
    </tableColumn>
    <tableColumn id="35" xr3:uid="{9DB9EDA7-7607-4D65-83D3-1DEEADC3C9A3}" name="7. Политическая партия &quot;Российская объединенная демократическая партия &quot;ЯБЛОКО&quot;" totalsRowFunction="sum" dataDxfId="461" totalsRowDxfId="460"/>
    <tableColumn id="36" xr3:uid="{9BB90D12-E0B2-4ABB-86BB-77665E464CD0}" name="Яблоко" dataDxfId="459" totalsRowDxfId="458">
      <calculatedColumnFormula>100*AM2/$T2</calculatedColumnFormula>
    </tableColumn>
    <tableColumn id="37" xr3:uid="{72E6B033-F171-449D-BB7F-55349391097C}" name="8. Всероссийская политическая партия &quot;ПАРТИЯ РОСТА&quot;" totalsRowFunction="sum" dataDxfId="457" totalsRowDxfId="456"/>
    <tableColumn id="38" xr3:uid="{F4C36960-106B-4E0A-871C-8AAEE511DA16}" name="Роста" dataDxfId="455" totalsRowDxfId="454">
      <calculatedColumnFormula>100*AO2/$T2</calculatedColumnFormula>
    </tableColumn>
    <tableColumn id="39" xr3:uid="{419CC715-D267-485F-8FBA-B2AA91884040}" name="9. Политическая партия РОССИЙСКАЯ ПАРТИЯ СВОБОДЫ И СПРАВЕДЛИВОСТИ" totalsRowFunction="sum" dataDxfId="453" totalsRowDxfId="452"/>
    <tableColumn id="40" xr3:uid="{F92D6923-0A77-4071-BD1D-DEDCEBE4A1E4}" name="Свободы" dataDxfId="451" totalsRowDxfId="450">
      <calculatedColumnFormula>100*AQ2/$T2</calculatedColumnFormula>
    </tableColumn>
    <tableColumn id="41" xr3:uid="{5C8FE28D-B86F-4B24-9834-47BB5AF00CBD}" name="10. Политическая партия КОММУНИСТИЧЕСКАЯ ПАРТИЯ КОММУНИСТЫ РОССИИ" totalsRowFunction="sum" dataDxfId="449" totalsRowDxfId="448"/>
    <tableColumn id="42" xr3:uid="{7C509FF9-9A88-42C7-9472-93007E960100}" name="КР" dataDxfId="447" totalsRowDxfId="446">
      <calculatedColumnFormula>100*AS2/$T2</calculatedColumnFormula>
    </tableColumn>
    <tableColumn id="43" xr3:uid="{95E3A4D1-5489-4C55-9506-05BCD7938770}" name="11. Политическая партия &quot;Гражданская Платформа&quot;" totalsRowFunction="sum" dataDxfId="445" totalsRowDxfId="444"/>
    <tableColumn id="44" xr3:uid="{CE3EC797-815C-4D0E-9DC8-1A8B55DEC5CA}" name="Гражданская платф." dataDxfId="443" totalsRowDxfId="442">
      <calculatedColumnFormula>100*AU2/$T2</calculatedColumnFormula>
    </tableColumn>
    <tableColumn id="45" xr3:uid="{A6F74796-EB50-4542-8ED6-1036CD5AD620}" name="12. Политическая партия ЗЕЛЕНАЯ АЛЬТЕРНАТИВА" totalsRowFunction="sum" dataDxfId="441" totalsRowDxfId="440"/>
    <tableColumn id="46" xr3:uid="{1CD9638C-28AE-46D8-81B3-4570523048D9}" name="Зеленая альт." dataDxfId="439" totalsRowDxfId="438">
      <calculatedColumnFormula>100*AW2/$T2</calculatedColumnFormula>
    </tableColumn>
    <tableColumn id="47" xr3:uid="{ACAC7230-9F79-41D5-AEBB-A06142ED5CF0}" name="13. ВСЕРОССИЙСКАЯ ПОЛИТИЧЕСКАЯ ПАРТИЯ &quot;РОДИНА&quot;" totalsRowFunction="sum" dataDxfId="437" totalsRowDxfId="436"/>
    <tableColumn id="48" xr3:uid="{C7925C2D-F87C-4D96-8421-78796806E325}" name="Родина" dataDxfId="435" totalsRowDxfId="434">
      <calculatedColumnFormula>100*AY2/$T2</calculatedColumnFormula>
    </tableColumn>
    <tableColumn id="49" xr3:uid="{96354A28-C12D-4C60-B4F3-7F28341C8700}" name="14. ПАРТИЯ ПЕНСИОНЕРОВ" totalsRowFunction="sum" dataDxfId="433" totalsRowDxfId="432"/>
    <tableColumn id="50" xr3:uid="{A8E7CFAD-7826-4249-8D97-73335B615466}" name="Пенсионеров" dataDxfId="431" totalsRowDxfId="430">
      <calculatedColumnFormula>100*BA2/$T2</calculatedColumnFormula>
    </tableColumn>
    <tableColumn id="51" xr3:uid="{63EDA5E6-1B27-45A7-A6A1-22EC5B4E262B}" name="url" dataDxfId="429" totalsRowDxfId="428"/>
    <tableColumn id="60" xr3:uid="{63BEF7CF-0C5E-4A07-A509-A74E728C7EEF}" name="КОИБ" totalsRowFunction="countNums" totalsRowDxfId="427"/>
    <tableColumn id="52" xr3:uid="{724FC44D-6DA6-4C90-8E8F-2DABF0307E7F}" name="Наблюдателей" totalsRowFunction="countNums" dataDxfId="426" totalsRowDxfId="425"/>
    <tableColumn id="56" xr3:uid="{32A81778-ADCA-4674-BC2A-C885C13FF293}" name="Вброс" totalsRowFunction="sum" dataDxfId="424" totalsRowDxfId="423">
      <calculatedColumnFormula>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calculatedColumnFormula>
    </tableColumn>
    <tableColumn id="57" xr3:uid="{FE8C5CDC-2D42-4D31-8616-4E8385D52995}" name="Перекладывание" totalsRowFunction="sum" dataDxfId="422" totalsRowDxfId="421">
      <calculatedColumnFormula>2*(Дума_партии[[#This Row],[5. Всероссийская политическая партия "ЕДИНАЯ РОССИЯ"]]-(AB$203/100)*Дума_партии[[#This Row],[Число действительных избирательных бюллетеней]])</calculatedColumnFormula>
    </tableColumn>
    <tableColumn id="58" xr3:uid="{A9016490-9423-4DA0-992E-124FEDE88C2D}" name="Оценка числа бюллетеней, сфальсифицированных в пользу ЕР" totalsRowFunction="sum" dataDxfId="420" totalsRowDxfId="419">
      <calculatedColumnFormula>(Дума_партии[[#This Row],[Вброс]]+Дума_партии[[#This Row],[Перекладывание]])/2</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F65D0E3-28D4-43EF-BADD-E79B94BF913D}" name="Мособлдума_партии" displayName="Мособлдума_партии" ref="B1:AZ184" totalsRowCount="1" headerRowDxfId="418" dataDxfId="417" totalsRowDxfId="416">
  <autoFilter ref="B1:AZ183" xr:uid="{6501A170-59BF-4666-87A3-BB1C3C7C32A3}"/>
  <tableColumns count="51">
    <tableColumn id="1" xr3:uid="{C7EF0891-4E8B-47CB-A8CA-3E9B893C4BFA}" name="level" totalsRowLabel="Total" dataDxfId="415" totalsRowDxfId="414"/>
    <tableColumn id="2" xr3:uid="{CAF7B33E-B857-45CD-AF83-063A24DC920F}" name="oik" dataDxfId="413" totalsRowDxfId="412"/>
    <tableColumn id="3" xr3:uid="{38473EED-75B0-4517-A697-066A79BF5077}" name="tik" dataDxfId="411" totalsRowDxfId="410"/>
    <tableColumn id="4" xr3:uid="{8E33B84E-9CC4-41E1-90F6-082F4EE43181}" name="uik" dataDxfId="409" totalsRowDxfId="408"/>
    <tableColumn id="45" xr3:uid="{790E9E01-A7BF-487F-854D-212E1EEDAC14}" name="УИК" totalsRowFunction="count" dataDxfId="407" totalsRowDxfId="406">
      <calculatedColumnFormula>SUMPRODUCT(MID(0&amp;E2, LARGE(INDEX(ISNUMBER(--MID(E2, ROW(INDIRECT("1:"&amp;LEN(E2))), 1)) * ROW(INDIRECT("1:"&amp;LEN(E2))), 0), ROW(INDIRECT("1:"&amp;LEN(E2))))+1, 1) * 10^ROW(INDIRECT("1:"&amp;LEN(E2)))/10)</calculatedColumnFormula>
    </tableColumn>
    <tableColumn id="44" xr3:uid="{C4051161-6146-48A3-850C-C340AEA62456}" name="Местоположение" dataDxfId="405" totalsRowDxfId="404">
      <calculatedColumnFormula>Дума_партии[[#This Row],[Местоположение]]</calculatedColumnFormula>
    </tableColumn>
    <tableColumn id="50" xr3:uid="{3D3FC645-B064-4A87-B248-C1CD2885DDAC}" name="ТИК" dataDxfId="403" totalsRowDxfId="402">
      <calculatedColumnFormula>LEFT(Мособлдума_партии[[#This Row],[tik]],4)&amp;"."&amp;IF(ISNUMBER(VALUE(RIGHT(Мособлдума_партии[[#This Row],[tik]]))),RIGHT(Мособлдума_партии[[#This Row],[tik]]),"")</calculatedColumnFormula>
    </tableColumn>
    <tableColumn id="10" xr3:uid="{FB67765E-566C-4D6D-AB45-BDAD8CA3C28D}" name="Число избирателей, внесенных в список на момент окончания голосования" totalsRowFunction="sum" dataDxfId="401" totalsRowDxfId="400"/>
    <tableColumn id="5" xr3:uid="{8190B55F-17C3-444C-91E2-953365A5F106}" name="Вес участка" dataDxfId="399" totalsRowDxfId="398">
      <calculatedColumnFormula>Мособлдума_партии[[#This Row],[Число избирателей, внесенных в список на момент окончания голосования]]</calculatedColumnFormula>
    </tableColumn>
    <tableColumn id="6" xr3:uid="{3C8A50DA-F7ED-4C92-8261-4231E040C358}" name="Число бюллетеней, полученных участковой избирательной комиссией" dataDxfId="397" totalsRowDxfId="396"/>
    <tableColumn id="9" xr3:uid="{CDB7E5F3-696F-48D7-A83C-CC9FB6082F2C}" name="Column1" dataDxfId="395" totalsRowDxfId="394"/>
    <tableColumn id="7" xr3:uid="{1D058298-9737-4AB9-B056-3CEDB1AFA8F3}" name="Число бюллетеней, выданных избирателям в помещении для голосования в день голосования" totalsRowFunction="sum" dataDxfId="393" totalsRowDxfId="392"/>
    <tableColumn id="8" xr3:uid="{18DA9A34-26D2-4EFC-A202-4C0C8736E381}" name="Число бюллетеней, выданных избирателям, проголосовавшим вне помещения для голосования в день голосо" totalsRowFunction="sum" dataDxfId="391" totalsRowDxfId="390"/>
    <tableColumn id="11" xr3:uid="{09CB5120-2482-4181-B7FE-CA49610526FE}" name="Явка" dataDxfId="389" totalsRowDxfId="388">
      <calculatedColumnFormula>100*(M2+N2)/I2</calculatedColumnFormula>
    </tableColumn>
    <tableColumn id="12" xr3:uid="{81724741-43BC-45BF-92C2-A570C4CE14AA}" name="Надомка от списка" dataDxfId="387" totalsRowDxfId="386">
      <calculatedColumnFormula>100*N2/I2</calculatedColumnFormula>
    </tableColumn>
    <tableColumn id="13" xr3:uid="{E63929FB-E5B9-42CE-B1D6-2090AC95659D}" name="Число погашенных бюллетеней" dataDxfId="385" totalsRowDxfId="384"/>
    <tableColumn id="14" xr3:uid="{C29B6DDC-D8F9-4554-B65F-DD39A2DFD5D4}" name="Число бюллетеней, содержащихся в переносных ящиках для голосования" dataDxfId="383" totalsRowDxfId="382"/>
    <tableColumn id="15" xr3:uid="{6104CBCD-BB9E-4263-9B33-E76DC50DC1F0}" name="Число бюллетеней, содержащихся в стационарных ящиках для голосования" dataDxfId="381" totalsRowDxfId="380"/>
    <tableColumn id="16" xr3:uid="{B2ECB11D-7C9A-4581-8EE4-B8CAA10B08F1}" name="Обнаружено" totalsRowFunction="sum" dataDxfId="379" totalsRowDxfId="378">
      <calculatedColumnFormula>R2+S2</calculatedColumnFormula>
    </tableColumn>
    <tableColumn id="17" xr3:uid="{BEC18483-12A4-4399-9967-4AD9ECE92304}" name="Надомка" dataDxfId="377" totalsRowDxfId="376">
      <calculatedColumnFormula>100*R2/T2</calculatedColumnFormula>
    </tableColumn>
    <tableColumn id="18" xr3:uid="{26014D66-2D15-438E-B4D1-505F4054AA3D}" name="Число недействительных бюллетеней" dataDxfId="375" totalsRowDxfId="374"/>
    <tableColumn id="19" xr3:uid="{0DF0A861-B61C-4CAA-8229-6AD922813D1B}" name="Недействительных" dataDxfId="373" totalsRowDxfId="372">
      <calculatedColumnFormula>100*V2/T2</calculatedColumnFormula>
    </tableColumn>
    <tableColumn id="20" xr3:uid="{31D52424-052F-4D77-A4E8-FF797A83E935}" name="Число действительных бюллетеней" totalsRowFunction="sum" dataDxfId="371" totalsRowDxfId="370"/>
    <tableColumn id="21" xr3:uid="{60E026C2-C4DD-4F98-A3A1-EC0B59F23F12}" name="Число утраченных бюллетеней" dataDxfId="369" totalsRowDxfId="368"/>
    <tableColumn id="22" xr3:uid="{537B12B9-A74C-4C98-909A-D8EA966513C9}" name="Число бюллетеней, не учтенных при получении" dataDxfId="367" totalsRowDxfId="366"/>
    <tableColumn id="23" xr3:uid="{357687B1-E7B7-49BC-87B5-70A4A453D626}" name="1. ВСЕРОССИЙСКАЯ ПОЛИТИЧЕСКАЯ ПАРТИЯ &quot;РОДИНА&quot;" totalsRowFunction="sum" dataDxfId="365" totalsRowDxfId="364"/>
    <tableColumn id="24" xr3:uid="{34079A99-823E-4669-9CDF-F0B993F61559}" name="Родина" dataDxfId="363" totalsRowDxfId="362">
      <calculatedColumnFormula>100*AA2/$T2</calculatedColumnFormula>
    </tableColumn>
    <tableColumn id="25" xr3:uid="{02505B56-D9B3-4B45-BE46-26B7C0472875}" name="2. Политическая партия ЛДПР – Либерально-демократическая партия России" totalsRowFunction="sum" dataDxfId="361" totalsRowDxfId="360"/>
    <tableColumn id="26" xr3:uid="{F44E7F72-151C-4A95-A0AF-A9A71C1CD916}" name="ЛДПР" dataDxfId="359" totalsRowDxfId="358">
      <calculatedColumnFormula>100*AC2/$T2</calculatedColumnFormula>
    </tableColumn>
    <tableColumn id="27" xr3:uid="{DEF4DB98-BD57-408B-989F-2FE8FD34472E}" name="3. Политическая партия &quot;НОВЫЕ ЛЮДИ&quot;" totalsRowFunction="sum" dataDxfId="357" totalsRowDxfId="356"/>
    <tableColumn id="28" xr3:uid="{05AE7F6C-1852-4B7E-946C-3769D3461B72}" name="Новые люди" dataDxfId="355" totalsRowDxfId="354">
      <calculatedColumnFormula>100*AE2/$T2</calculatedColumnFormula>
    </tableColumn>
    <tableColumn id="29" xr3:uid="{40B286AF-D0D9-438E-8A84-2FDD8B7FD548}" name="4. ПАРТИЯ ПЕНСИОНЕРОВ" totalsRowFunction="sum" dataDxfId="353" totalsRowDxfId="352"/>
    <tableColumn id="30" xr3:uid="{465253D8-8192-4620-B587-B523F2B6DA87}" name="Пенсионеров" dataDxfId="351" totalsRowDxfId="350">
      <calculatedColumnFormula>100*AG2/$T2</calculatedColumnFormula>
    </tableColumn>
    <tableColumn id="31" xr3:uid="{9385BD77-1A8F-4199-897C-CB00D7E7EA0A}" name="5. Политическая партия &quot;КОММУНИСТИЧЕСКАЯ ПАРТИЯ РОССИЙСКОЙ ФЕДЕРАЦИИ&quot;" totalsRowFunction="sum" dataDxfId="349" totalsRowDxfId="348"/>
    <tableColumn id="32" xr3:uid="{89D7CCAA-5CAF-4085-9260-DE3B6F45DCEE}" name="КПРФ" dataDxfId="347" totalsRowDxfId="346">
      <calculatedColumnFormula>100*AI2/$T2</calculatedColumnFormula>
    </tableColumn>
    <tableColumn id="33" xr3:uid="{EB4CACC5-7E03-4106-849F-48D2F03693CF}" name="6. Всероссийская политическая партия &quot;ЕДИНАЯ РОССИЯ&quot;" totalsRowFunction="sum" dataDxfId="345" totalsRowDxfId="344"/>
    <tableColumn id="34" xr3:uid="{3A13C875-2E80-40ED-9CAF-68BF4E9A3690}" name="Единая Россия" dataDxfId="343" totalsRowDxfId="342">
      <calculatedColumnFormula>100*AK2/$T2</calculatedColumnFormula>
    </tableColumn>
    <tableColumn id="35" xr3:uid="{D91964B1-F314-4D22-8902-3615C25FE10E}" name="7. Политическая партия &quot;Российская экологическая партия &quot;ЗЕЛЁНЫЕ&quot;" totalsRowFunction="sum" dataDxfId="341" totalsRowDxfId="340"/>
    <tableColumn id="36" xr3:uid="{5DE13FF3-A2AE-4C24-A601-3E4D4CA8FD42}" name="Экол. зеленые" dataDxfId="339" totalsRowDxfId="338">
      <calculatedColumnFormula>100*AM2/$T2</calculatedColumnFormula>
    </tableColumn>
    <tableColumn id="37" xr3:uid="{11F11C52-F0F5-449C-97F7-568A70F14CC7}" name="8. Политическая партия &quot;Российская объединенная демократическая партия &quot;ЯБЛОКО&quot;" totalsRowFunction="sum" dataDxfId="337" totalsRowDxfId="336"/>
    <tableColumn id="38" xr3:uid="{A5C4E5C0-9D14-47EA-8FD7-2520E57B2155}" name="Яблоко" dataDxfId="335" totalsRowDxfId="334">
      <calculatedColumnFormula>100*AO2/$T2</calculatedColumnFormula>
    </tableColumn>
    <tableColumn id="39" xr3:uid="{4AB31D4C-3D42-4401-AEFF-2A4DF1E3B82F}" name="9. Политическая партия КОММУНИСТИЧЕСКАЯ ПАРТИЯ КОММУНИСТЫ РОССИИ" totalsRowFunction="sum" dataDxfId="333" totalsRowDxfId="332"/>
    <tableColumn id="40" xr3:uid="{89B0C326-9CC5-4123-88BE-D1189213AE3D}" name="КР" dataDxfId="331" totalsRowDxfId="330">
      <calculatedColumnFormula>100*AQ2/$T2</calculatedColumnFormula>
    </tableColumn>
    <tableColumn id="41" xr3:uid="{48105FB8-59E1-49E5-BE0E-CB3DA0E415B3}" name="10. Партия СПРАВЕДЛИВАЯ РОССИЯ – ЗА ПРАВДУ" totalsRowFunction="sum" dataDxfId="329" totalsRowDxfId="328"/>
    <tableColumn id="42" xr3:uid="{689DA3B3-ACC2-4854-9FD4-57D4E5163993}" name="СР" dataDxfId="327" totalsRowDxfId="326">
      <calculatedColumnFormula>100*AS2/$T2</calculatedColumnFormula>
    </tableColumn>
    <tableColumn id="43" xr3:uid="{5C1CA377-3374-4BDA-B4AF-5CCF587496BF}" name="url" dataDxfId="325" totalsRowDxfId="324"/>
    <tableColumn id="51" xr3:uid="{B7AB6DAF-F4F6-496B-8F36-69BE8C05AEFA}" name="КОИБ" totalsRowFunction="countNums" dataDxfId="323">
      <calculatedColumnFormula>Дума_партии[[#This Row],[КОИБ]]</calculatedColumnFormula>
    </tableColumn>
    <tableColumn id="48" xr3:uid="{EA0EC7EC-F8DA-45AE-B1F5-352ADA9FC67A}" name="Наблюдателей" totalsRowFunction="countNums" dataDxfId="322" totalsRowDxfId="321">
      <calculatedColumnFormula>IF(Дума_партии[[#This Row],[Наблюдателей]]=0,"",Дума_партии[[#This Row],[Наблюдателей]])</calculatedColumnFormula>
    </tableColumn>
    <tableColumn id="46" xr3:uid="{D186E79E-AE45-4350-8F2F-80E934C498CC}" name="Вброс" totalsRowFunction="sum" dataDxfId="320" totalsRowDxfId="319">
      <calculatedColumnFormula>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calculatedColumnFormula>
    </tableColumn>
    <tableColumn id="47" xr3:uid="{38461854-1D79-499E-85BA-DAEB7B508182}" name="Перекладывание" totalsRowFunction="sum" dataDxfId="318" totalsRowDxfId="317">
      <calculatedColumnFormula>2*(Мособлдума_партии[[#This Row],[6. Всероссийская политическая партия "ЕДИНАЯ РОССИЯ"]]-(AB$203/100)*Мособлдума_партии[[#This Row],[Число действительных бюллетеней]])</calculatedColumnFormula>
    </tableColumn>
    <tableColumn id="49" xr3:uid="{FE5D57B8-AAC8-41C0-B923-5EDBD6FB26DD}" name="Оценка числа бюллетеней, сфальсифицированных в пользу ЕР" totalsRowFunction="sum" dataDxfId="316" totalsRowDxfId="315">
      <calculatedColumnFormula>(Мособлдума_партии[[#This Row],[Вброс]]+Мособлдума_партии[[#This Row],[Перекладывание]])/2</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CF6AF9C-639A-432E-B9B8-552CCF313AF3}" name="Дума_одномандатный" displayName="Дума_одномандатный" ref="A1:AZ184" totalsRowCount="1" headerRowDxfId="314" dataDxfId="313" totalsRowDxfId="312">
  <autoFilter ref="A1:AZ183" xr:uid="{DBBC7CFE-86F4-4916-B21C-1A214F6152EF}"/>
  <tableColumns count="52">
    <tableColumn id="1" xr3:uid="{62326C51-698A-434C-84E7-D09EB55F4101}" name="level" totalsRowLabel="Total" dataDxfId="311" totalsRowDxfId="310"/>
    <tableColumn id="2" xr3:uid="{40F2B126-4414-47C7-8F43-00FABE48DDEA}" name="reg" dataDxfId="309" totalsRowDxfId="308"/>
    <tableColumn id="3" xr3:uid="{99854563-F101-48D3-8C20-F96BD6D5ED1A}" name="oik" dataDxfId="307" totalsRowDxfId="306"/>
    <tableColumn id="4" xr3:uid="{AC3811C7-15A9-43E1-9C1E-D34467D2AA20}" name="tik" dataDxfId="305" totalsRowDxfId="304"/>
    <tableColumn id="5" xr3:uid="{65371619-A8F6-4BCE-BEA7-8678E7624228}" name="uik" dataDxfId="303" totalsRowDxfId="302"/>
    <tableColumn id="43" xr3:uid="{B95386CA-F868-4996-AFF6-E5971EB37F3C}" name="УИК" totalsRowFunction="count" dataDxfId="301" totalsRowDxfId="300">
      <calculatedColumnFormula>SUMPRODUCT(MID(0&amp;E2, LARGE(INDEX(ISNUMBER(--MID(E2, ROW(INDIRECT("1:"&amp;LEN(E2))), 1)) * ROW(INDIRECT("1:"&amp;LEN(E2))), 0), ROW(INDIRECT("1:"&amp;LEN(E2))))+1, 1) * 10^ROW(INDIRECT("1:"&amp;LEN(E2)))/10)</calculatedColumnFormula>
    </tableColumn>
    <tableColumn id="44" xr3:uid="{A0E86E51-30E2-4C96-BB00-7B4B979B5D13}" name="Местоположение" dataDxfId="299" totalsRowDxfId="298">
      <calculatedColumnFormula>Дума_партии[[#This Row],[Местоположение]]</calculatedColumnFormula>
    </tableColumn>
    <tableColumn id="51" xr3:uid="{D00D96FD-C71C-43FA-815A-8B52762BA9F4}" name="ТИК" dataDxfId="297" totalsRowDxfId="296">
      <calculatedColumnFormula>LEFT(Дума_одномандатный[[#This Row],[tik]],4)&amp;"."&amp;IF(ISNUMBER(VALUE(RIGHT(Дума_одномандатный[[#This Row],[tik]]))),RIGHT(Дума_одномандатный[[#This Row],[tik]]),"")</calculatedColumnFormula>
    </tableColumn>
    <tableColumn id="45" xr3:uid="{5709B850-C023-47DC-A0E1-069E1DCF6A58}" name="Число избирателей, внесенных в список избирателей на момент окончания голосования" totalsRowFunction="sum" dataDxfId="295" totalsRowDxfId="294"/>
    <tableColumn id="6" xr3:uid="{F1F320DB-4268-42A4-B6A4-8785C8E000AF}" name="Вес участка" dataDxfId="293" totalsRowDxfId="292">
      <calculatedColumnFormula>Дума_одномандатный[[#This Row],[Число избирателей, внесенных в список избирателей на момент окончания голосования]]</calculatedColumnFormula>
    </tableColumn>
    <tableColumn id="7" xr3:uid="{53F47F90-ADB6-455A-A53B-E542DA7A0D26}" name="Число избирательных бюллетеней, полученных участковой избирательной комиссией" dataDxfId="291" totalsRowDxfId="290"/>
    <tableColumn id="8" xr3:uid="{226CED95-88D5-410E-9D30-A72193EB0CB0}" name="Число избирательных бюллетеней, выданных избирателям, проголосовавшим досрочно" dataDxfId="289" totalsRowDxfId="288"/>
    <tableColumn id="9" xr3:uid="{1149ECE4-F12A-4A95-88AA-3618272EA249}" name="Число избирательных бюллетеней, выданных в помещении для голосования в день голосования" totalsRowFunction="sum" dataDxfId="287" totalsRowDxfId="286"/>
    <tableColumn id="10" xr3:uid="{BC06EC43-E1D9-480E-A648-4A6A21425F01}" name="Число избирательных бюллетеней, выданных вне помещения для голосования в день голосования" totalsRowFunction="sum" dataDxfId="285" totalsRowDxfId="284"/>
    <tableColumn id="11" xr3:uid="{384C1994-04CD-4B46-93DF-4FE5A772707C}" name="Явка" dataDxfId="283" totalsRowDxfId="282">
      <calculatedColumnFormula>100*(M2+N2)/I2</calculatedColumnFormula>
    </tableColumn>
    <tableColumn id="12" xr3:uid="{C35DDC24-A6B7-4A6F-A18F-5AF6F3E4CA96}" name="Надомка от списка" dataDxfId="281" totalsRowDxfId="280">
      <calculatedColumnFormula>100*N2/I2</calculatedColumnFormula>
    </tableColumn>
    <tableColumn id="13" xr3:uid="{A025A559-B58D-464A-B4B5-6354E767DEEF}" name="Число погашенных избирательных бюллетеней" dataDxfId="279" totalsRowDxfId="278"/>
    <tableColumn id="14" xr3:uid="{54F9D45A-1268-477C-8CC8-8593B331EE45}" name="Число избирательных бюллетеней, содержащихся в переносных ящиках для голосования" dataDxfId="277" totalsRowDxfId="276"/>
    <tableColumn id="15" xr3:uid="{E4393E71-5EA5-44D9-9C2F-EE2A46E1A6DF}" name="Число избирательных бюллетеней, содержащихся в стационарных ящиках для голосования" dataDxfId="275" totalsRowDxfId="274"/>
    <tableColumn id="16" xr3:uid="{560E2E4C-77EB-420C-A9F8-4C7765B6ED48}" name="Обнаружено" totalsRowFunction="sum" dataDxfId="273" totalsRowDxfId="272">
      <calculatedColumnFormula>R2+S2</calculatedColumnFormula>
    </tableColumn>
    <tableColumn id="17" xr3:uid="{0938C0E5-9B87-40CF-B0A5-290DE0E356B7}" name="Надомка" dataDxfId="271" totalsRowDxfId="270">
      <calculatedColumnFormula>100*R2/T2</calculatedColumnFormula>
    </tableColumn>
    <tableColumn id="18" xr3:uid="{62AC6B43-A22A-407C-A211-45891C537570}" name="Число недействительных избирательных бюллетеней" dataDxfId="269" totalsRowDxfId="268"/>
    <tableColumn id="19" xr3:uid="{CFEAD4C3-E12C-4DF0-A709-479ED47F7B27}" name="Недействительных" dataDxfId="267" totalsRowDxfId="266">
      <calculatedColumnFormula>100*V2/T2</calculatedColumnFormula>
    </tableColumn>
    <tableColumn id="20" xr3:uid="{935FEC1C-D6D8-48A9-9B1C-46393EF64629}" name="Число действительных избирательных бюллетеней" totalsRowFunction="sum" dataDxfId="265" totalsRowDxfId="264"/>
    <tableColumn id="21" xr3:uid="{87C8627E-9DF5-4D10-83EF-1D833C41F5FE}" name="Число утраченных избирательных бюллетеней" dataDxfId="263" totalsRowDxfId="262"/>
    <tableColumn id="22" xr3:uid="{B2AF960C-820E-4599-AD93-C72269D545DE}" name="Число избирательных бюллетеней, не учтенных при получении" dataDxfId="261" totalsRowDxfId="260"/>
    <tableColumn id="23" xr3:uid="{B6B7F874-D30C-4DE0-8A8D-8E91A49292D3}" name="Дуленков Алексей Николаевич" totalsRowFunction="sum" dataDxfId="259" totalsRowDxfId="258"/>
    <tableColumn id="24" xr3:uid="{2940C697-CD16-45C6-8505-A1F54286A9DD}" name="Дуленков (Яблоко)" dataDxfId="257" totalsRowDxfId="256">
      <calculatedColumnFormula>100*AA2/$T2</calculatedColumnFormula>
    </tableColumn>
    <tableColumn id="25" xr3:uid="{85BFC8A0-8846-4902-912A-D38C740D2FBA}" name="Калимуллин Руслан Рамилевич" totalsRowFunction="sum" dataDxfId="255" totalsRowDxfId="254"/>
    <tableColumn id="26" xr3:uid="{00152848-E974-48A8-A97D-972A92BBD5D1}" name="Калимуллин (Новые люди)" dataDxfId="253" totalsRowDxfId="252">
      <calculatedColumnFormula>100*AC2/$T2</calculatedColumnFormula>
    </tableColumn>
    <tableColumn id="27" xr3:uid="{6B4AEA88-F0C8-4191-A507-484B923CA731}" name="Кумохин Александр Геннадиевич" totalsRowFunction="sum" dataDxfId="251" totalsRowDxfId="250"/>
    <tableColumn id="28" xr3:uid="{B00ECBC9-530A-4C29-A20D-B0E24DB68B16}" name="Кумохин (СР)" dataDxfId="249" totalsRowDxfId="248">
      <calculatedColumnFormula>100*AE2/$T2</calculatedColumnFormula>
    </tableColumn>
    <tableColumn id="29" xr3:uid="{AF8B8D26-E3F1-41C1-AC7C-3BBBADA1EB61}" name="Майданов Денис Васильевич" totalsRowFunction="sum" dataDxfId="247" totalsRowDxfId="246"/>
    <tableColumn id="30" xr3:uid="{E8FB69F0-A08B-4CCC-B15D-19352A9F6A27}" name="Майданов (Единая Россия)" dataDxfId="245" totalsRowDxfId="244">
      <calculatedColumnFormula>100*AG2/$T2</calculatedColumnFormula>
    </tableColumn>
    <tableColumn id="31" xr3:uid="{A19EB4C0-4D9D-4BDF-A223-3F4C4593B7DE}" name="Пархоменко Дмитрий Владимирович" totalsRowFunction="sum" dataDxfId="243" totalsRowDxfId="242"/>
    <tableColumn id="32" xr3:uid="{720FE187-2022-41B5-ABC0-F28E0F525B3B}" name="Пархоменко (ЛДПР)" dataDxfId="241" totalsRowDxfId="240">
      <calculatedColumnFormula>100*AI2/$T2</calculatedColumnFormula>
    </tableColumn>
    <tableColumn id="33" xr3:uid="{8F623764-AE8C-484A-8B17-31DA918738E6}" name="Степанов Федор Александрович" totalsRowFunction="sum" dataDxfId="239" totalsRowDxfId="238"/>
    <tableColumn id="34" xr3:uid="{1593B5FD-AE93-4765-BA05-BB84D52519FB}" name="Степанов (КР)" dataDxfId="237" totalsRowDxfId="236">
      <calculatedColumnFormula>100*AK2/$T2</calculatedColumnFormula>
    </tableColumn>
    <tableColumn id="46" xr3:uid="{003EF5B6-DA47-4F03-86BB-8121889D1537}" name="Сукязян Артур Вадимович" totalsRowFunction="sum" dataDxfId="235" totalsRowDxfId="234"/>
    <tableColumn id="47" xr3:uid="{C199B725-232A-4861-9C9F-58C7A0639787}" name="Сукязян (Экол. зеленые)" dataDxfId="233" totalsRowDxfId="232">
      <calculatedColumnFormula>100*AM2/$T2</calculatedColumnFormula>
    </tableColumn>
    <tableColumn id="35" xr3:uid="{E978393D-3D68-4CAA-9FC1-C8F3C154D54B}" name="Теняев Сергей Александрович" totalsRowFunction="sum" dataDxfId="231" totalsRowDxfId="230"/>
    <tableColumn id="36" xr3:uid="{B6D4B1B8-BEE2-4C5E-B984-275E42DF8B63}" name="Теняев (КПРФ)" dataDxfId="229" totalsRowDxfId="228">
      <calculatedColumnFormula>100*AO2/$T2</calculatedColumnFormula>
    </tableColumn>
    <tableColumn id="37" xr3:uid="{AFA439C0-D33D-48A4-B390-57359F2D1677}" name="Ханафиев Жаудат Габдулганиевич" totalsRowFunction="sum" dataDxfId="227" totalsRowDxfId="226"/>
    <tableColumn id="38" xr3:uid="{836B38E7-8DAB-4AE1-B07D-C4CB2EE334D5}" name="Ханафиев (Пенсионеров)" dataDxfId="225" totalsRowDxfId="224">
      <calculatedColumnFormula>100*AQ2/$T2</calculatedColumnFormula>
    </tableColumn>
    <tableColumn id="39" xr3:uid="{0EAD61CB-ADA2-44A9-ADE6-ED0560EF930C}" name="Шерягин Владимир Геннадьевич" totalsRowFunction="sum" dataDxfId="223" totalsRowDxfId="222"/>
    <tableColumn id="40" xr3:uid="{31228B16-DA13-4691-A2D2-B3C78B89E203}" name="Шерягин (Родина)" dataDxfId="221" totalsRowDxfId="220">
      <calculatedColumnFormula>100*AS2/$T2</calculatedColumnFormula>
    </tableColumn>
    <tableColumn id="41" xr3:uid="{60C40B1D-2962-4FDA-8843-6D49D176C20C}" name="url" dataDxfId="219" totalsRowDxfId="218"/>
    <tableColumn id="52" xr3:uid="{F94712EA-5BFD-4DDD-9411-80E9F9098CF2}" name="КОИБ" totalsRowFunction="countNums" dataDxfId="217">
      <calculatedColumnFormula>Дума_партии[[#This Row],[КОИБ]]</calculatedColumnFormula>
    </tableColumn>
    <tableColumn id="42" xr3:uid="{8FE10529-A395-400D-92CF-E6F31DC121C8}" name="Наблюдателей" totalsRowFunction="countNums" dataDxfId="216" totalsRowDxfId="215">
      <calculatedColumnFormula>IF(Дума_партии[[#This Row],[Наблюдателей]]=0,"",Дума_партии[[#This Row],[Наблюдателей]])</calculatedColumnFormula>
    </tableColumn>
    <tableColumn id="48" xr3:uid="{3C3714E0-0047-4D57-948A-DA6BE9FA4B08}" name="Вброс" totalsRowFunction="sum" dataDxfId="214" totalsRowDxfId="213">
      <calculatedColumnFormula>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calculatedColumnFormula>
    </tableColumn>
    <tableColumn id="49" xr3:uid="{6E7B3770-124F-411F-BA8D-FB72C3C0F874}" name="Перекладывание" totalsRowFunction="sum" dataDxfId="212" totalsRowDxfId="211">
      <calculatedColumnFormula>2*(Дума_одномандатный[[#This Row],[Майданов Денис Васильевич]]-(AC$203/100)*Дума_одномандатный[[#This Row],[Число действительных избирательных бюллетеней]])</calculatedColumnFormula>
    </tableColumn>
    <tableColumn id="50" xr3:uid="{F31A65ED-F9FB-4F25-963C-FF0E2265ACAE}" name="Оценка числа бюллетеней, сфальсифицированных в пользу ЕР" totalsRowFunction="sum" dataDxfId="210" totalsRowDxfId="209">
      <calculatedColumnFormula>(Дума_одномандатный[[#This Row],[Вброс]]+Дума_одномандатный[[#This Row],[Перекладывание]])/2</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EBDF7D1-37F8-460C-80B7-E51D37636700}" name="Мособлдума_одномандатный_6" displayName="Мособлдума_одномандатный_6" ref="B1:AT184" totalsRowCount="1" headerRowDxfId="208" dataDxfId="207" totalsRowDxfId="206">
  <autoFilter ref="B1:AT183" xr:uid="{5E1284C9-1234-472E-9171-6AB2E0C95217}"/>
  <tableColumns count="45">
    <tableColumn id="1" xr3:uid="{83C6908D-0D47-4CB7-9EA0-E4FED6200ABF}" name="level" totalsRowLabel="Total" dataDxfId="205" totalsRowDxfId="204"/>
    <tableColumn id="2" xr3:uid="{F2340FDF-8E8C-4100-9071-831246FCE5F5}" name="oik" dataDxfId="203" totalsRowDxfId="202"/>
    <tableColumn id="3" xr3:uid="{3D8410F8-8C92-4B76-B562-C35E471A0C27}" name="tik" dataDxfId="201" totalsRowDxfId="200"/>
    <tableColumn id="4" xr3:uid="{6ADA77B6-ECD6-4510-9519-83100C7B6DE2}" name="uik" dataDxfId="199" totalsRowDxfId="198"/>
    <tableColumn id="37" xr3:uid="{7BAFE293-AAE4-47C1-83DE-85DC05A72F9B}" name="УИК" totalsRowFunction="count" dataDxfId="197" totalsRowDxfId="196">
      <calculatedColumnFormula>SUMPRODUCT(MID(0&amp;E2, LARGE(INDEX(ISNUMBER(--MID(E2, ROW(INDIRECT("1:"&amp;LEN(E2))), 1)) * ROW(INDIRECT("1:"&amp;LEN(E2))), 0), ROW(INDIRECT("1:"&amp;LEN(E2))))+1, 1) * 10^ROW(INDIRECT("1:"&amp;LEN(E2)))/10)</calculatedColumnFormula>
    </tableColumn>
    <tableColumn id="38" xr3:uid="{1F8AC6B4-0E32-4A70-8D55-510CB56BB129}" name="Местоположение" dataDxfId="195" totalsRowDxfId="194">
      <calculatedColumnFormula>Дума_партии[[#This Row],[Местоположение]]</calculatedColumnFormula>
    </tableColumn>
    <tableColumn id="42" xr3:uid="{9CED109C-AD11-4287-BE97-BFEFA9344827}" name="ТИК" dataDxfId="193" totalsRowDxfId="192">
      <calculatedColumnFormula>LEFT(Мособлдума_одномандатный_6[[#This Row],[tik]],4)&amp;"."&amp;IF(ISNUMBER(VALUE(RIGHT(Мособлдума_одномандатный_6[[#This Row],[tik]]))),RIGHT(Мособлдума_одномандатный_6[[#This Row],[tik]]),"")</calculatedColumnFormula>
    </tableColumn>
    <tableColumn id="9" xr3:uid="{82CB93B3-5A31-4DAF-9BC0-DBE072655B19}" name="Число избирателей, внесенных в список на момент окончания голосования" totalsRowFunction="sum" dataDxfId="191" totalsRowDxfId="190"/>
    <tableColumn id="5" xr3:uid="{9D5FE07C-5173-46E1-B71C-3C67CF4DFD97}" name="Вес участка" dataDxfId="189" totalsRowDxfId="188">
      <calculatedColumnFormula>Мособлдума_одномандатный_6[[#This Row],[Число избирателей, внесенных в список на момент окончания голосования]]</calculatedColumnFormula>
    </tableColumn>
    <tableColumn id="6" xr3:uid="{3E91BFEF-89BE-490B-8FB2-A9A1159A8719}" name="Число бюллетеней, полученных участковой избирательной комиссией" dataDxfId="187" totalsRowDxfId="186"/>
    <tableColumn id="39" xr3:uid="{D55B6BBF-DBB2-41F0-A61E-E224F32F63D5}" name="Column4" dataDxfId="185" totalsRowDxfId="184"/>
    <tableColumn id="7" xr3:uid="{5C4CD271-C96F-464A-B8C3-91BEFC9350E5}" name="Число бюллетеней, выданных избирателям в помещении для голосования в день голосования" totalsRowFunction="sum" dataDxfId="183" totalsRowDxfId="182"/>
    <tableColumn id="8" xr3:uid="{D7A9DDB7-E190-4713-96C0-FBDE59A4E001}" name="Число бюллетеней, выданных избирателям, проголосовавшим вне помещения для голосования в день голосо" totalsRowFunction="sum" dataDxfId="181" totalsRowDxfId="180"/>
    <tableColumn id="11" xr3:uid="{62A9D6F0-59EC-4C36-8BA6-BAC0BDAC2777}" name="Явка" dataDxfId="179" totalsRowDxfId="178">
      <calculatedColumnFormula>100*(M2+N2)/I2</calculatedColumnFormula>
    </tableColumn>
    <tableColumn id="12" xr3:uid="{79635F3D-66C3-463C-B795-BD6F1EAE6B66}" name="Надомка от списка" dataDxfId="177" totalsRowDxfId="176">
      <calculatedColumnFormula>100*N2/I2</calculatedColumnFormula>
    </tableColumn>
    <tableColumn id="13" xr3:uid="{2353B97F-FB04-4A7D-A66F-4DA8135843C4}" name="Число погашенных бюллетеней" dataDxfId="175" totalsRowDxfId="174"/>
    <tableColumn id="14" xr3:uid="{AD047A04-7A0B-4A24-A5CE-2CEF9C43F81B}" name="Число бюллетеней, содержащихся в переносных ящиках для голосования" dataDxfId="173" totalsRowDxfId="172"/>
    <tableColumn id="15" xr3:uid="{263444F3-3B42-4C01-9986-05BCEAB96023}" name="Число бюллетеней, содержащихся в стационарных ящиках для голосования" dataDxfId="171" totalsRowDxfId="170"/>
    <tableColumn id="16" xr3:uid="{385819E4-3DF8-4AB8-AF0B-A18BD1EEE431}" name="Обнаружено" totalsRowFunction="sum" dataDxfId="169" totalsRowDxfId="168">
      <calculatedColumnFormula>R2+S2</calculatedColumnFormula>
    </tableColumn>
    <tableColumn id="17" xr3:uid="{2882F682-98C9-4C2E-97DB-30236DDAA5B7}" name="Надомка" dataDxfId="167" totalsRowDxfId="166">
      <calculatedColumnFormula>100*R2/T2</calculatedColumnFormula>
    </tableColumn>
    <tableColumn id="18" xr3:uid="{8774DA82-338E-4482-B139-58E895ACB6DB}" name="Число недействительных бюллетеней" dataDxfId="165" totalsRowDxfId="164"/>
    <tableColumn id="19" xr3:uid="{0AE1D628-B0BA-4BE6-A0B0-F7D31A7BD6E7}" name="Недействительных" dataDxfId="163" totalsRowDxfId="162">
      <calculatedColumnFormula>100*V2/T2</calculatedColumnFormula>
    </tableColumn>
    <tableColumn id="20" xr3:uid="{EF826791-13FB-4153-9792-7E5B12140D52}" name="Число действительных бюллетеней" totalsRowFunction="sum" dataDxfId="161" totalsRowDxfId="160"/>
    <tableColumn id="21" xr3:uid="{E087ED88-8832-4ADC-B147-F3237C89D7C2}" name="Число утраченных бюллетеней" dataDxfId="159" totalsRowDxfId="158"/>
    <tableColumn id="22" xr3:uid="{5F7B7661-8AB9-49B3-B27D-8492B2C961AD}" name="Число бюллетеней, не учтенных при получении" dataDxfId="157" totalsRowDxfId="156"/>
    <tableColumn id="23" xr3:uid="{5B1D18D7-71A3-4EC1-90BD-C67B56344F6E}" name="Водонаев Станислав Юрьевич" totalsRowFunction="sum" dataDxfId="155" totalsRowDxfId="154"/>
    <tableColumn id="24" xr3:uid="{88360623-DF37-4B26-B193-F8279EE56C14}" name="Водонаев (СР)" dataDxfId="153" totalsRowDxfId="152">
      <calculatedColumnFormula>100*AA2/$T2</calculatedColumnFormula>
    </tableColumn>
    <tableColumn id="25" xr3:uid="{64755338-85C0-4653-9BBF-BDA51C183F65}" name="Горбанов Андрей Павлович" totalsRowFunction="sum" dataDxfId="151" totalsRowDxfId="150"/>
    <tableColumn id="26" xr3:uid="{05B75519-FFDB-4FED-96D9-D3AA6F875B6F}" name="Горбанов (Экол. зеленые)" dataDxfId="149" totalsRowDxfId="148">
      <calculatedColumnFormula>100*AC2/$T2</calculatedColumnFormula>
    </tableColumn>
    <tableColumn id="27" xr3:uid="{CDF2BF8D-19B2-4187-8129-3EE014678688}" name="Григорьев Антон Юрьевич" totalsRowFunction="sum" dataDxfId="147" totalsRowDxfId="146"/>
    <tableColumn id="28" xr3:uid="{490330E5-CB20-4D31-AE43-7D37B356AA32}" name="Григорьев (Роста)" dataDxfId="145" totalsRowDxfId="144">
      <calculatedColumnFormula>100*AE2/$T2</calculatedColumnFormula>
    </tableColumn>
    <tableColumn id="29" xr3:uid="{D38E6608-E928-4EFF-9C85-495A03193CA5}" name="Дуленков Алексей Николаевич" totalsRowFunction="sum" dataDxfId="143" totalsRowDxfId="142"/>
    <tableColumn id="30" xr3:uid="{94D11AD8-6532-4A7C-8525-BED1C53CBE07}" name="Дуленков (Яблоко)" dataDxfId="141" totalsRowDxfId="140">
      <calculatedColumnFormula>100*AG2/$T2</calculatedColumnFormula>
    </tableColumn>
    <tableColumn id="31" xr3:uid="{30B98050-7468-4702-B8EA-CCABB2593AC5}" name="Лазутина Лариса Евгеньевна" totalsRowFunction="sum" dataDxfId="139" totalsRowDxfId="138"/>
    <tableColumn id="32" xr3:uid="{CFF2C3CD-8828-424F-A22D-0B201351DF09}" name="Лазутина (Единая Россия)" dataDxfId="137" totalsRowDxfId="136">
      <calculatedColumnFormula>100*AI2/$T2</calculatedColumnFormula>
    </tableColumn>
    <tableColumn id="43" xr3:uid="{24F7196B-B464-4D85-93FF-96B4F55DF238}" name="Сидоров Владимир Фёдорович" totalsRowFunction="sum" dataDxfId="135" totalsRowDxfId="134"/>
    <tableColumn id="44" xr3:uid="{4427F530-7B2D-4A4B-B6E5-EDCC66F4C602}" name="Сидоров (ЛДПР)" dataDxfId="133" totalsRowDxfId="132">
      <calculatedColumnFormula>100*AK2/$T2</calculatedColumnFormula>
    </tableColumn>
    <tableColumn id="33" xr3:uid="{663D69EC-E3B0-455F-86E1-ACF55DF09179}" name="Ходырев Андрей Геннадьевич" totalsRowFunction="sum" dataDxfId="131" totalsRowDxfId="130"/>
    <tableColumn id="34" xr3:uid="{1A5B8758-7E93-474F-9401-B50022FEFFE4}" name="Ходырев (КПРФ)" dataDxfId="129" totalsRowDxfId="128">
      <calculatedColumnFormula>100*AM2/$T2</calculatedColumnFormula>
    </tableColumn>
    <tableColumn id="35" xr3:uid="{1DDCC58B-6EAA-41C2-AED0-81E049FCB897}" name="url" dataDxfId="127" totalsRowDxfId="126"/>
    <tableColumn id="45" xr3:uid="{5AA33188-1435-4BA4-AE1F-107004501EDB}" name="КОИБ" totalsRowFunction="countNums" dataDxfId="125">
      <calculatedColumnFormula>Дума_партии[[#This Row],[КОИБ]]</calculatedColumnFormula>
    </tableColumn>
    <tableColumn id="36" xr3:uid="{B288507E-43EC-486A-8F42-C92A13F6B38D}" name="Наблюдателей" totalsRowFunction="countNums" dataDxfId="124" totalsRowDxfId="123">
      <calculatedColumnFormula>IF(Дума_партии[[#This Row],[Наблюдателей]]=0,"",Дума_партии[[#This Row],[Наблюдателей]])</calculatedColumnFormula>
    </tableColumn>
    <tableColumn id="10" xr3:uid="{535C2831-BA99-49DF-AC79-3AE822610045}" name="Вброс" totalsRowFunction="sum" dataDxfId="122" totalsRowDxfId="121">
      <calculatedColumnFormula>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calculatedColumnFormula>
    </tableColumn>
    <tableColumn id="40" xr3:uid="{CF4A5E71-4F83-4E34-AC45-7D4747EA24E7}" name="Перекладывание" totalsRowFunction="sum" dataDxfId="120" totalsRowDxfId="119">
      <calculatedColumnFormula>2*(Мособлдума_одномандатный_6[[#This Row],[Лазутина Лариса Евгеньевна]]-(AC$203/100)*Мособлдума_одномандатный_6[[#This Row],[Число действительных бюллетеней]])</calculatedColumnFormula>
    </tableColumn>
    <tableColumn id="41" xr3:uid="{99948BCC-4D2F-4997-A7C2-C510BFBC9842}" name="Оценка числа бюллетеней, сфальсифицированных в пользу ЕР" totalsRowFunction="sum" dataDxfId="118" totalsRowDxfId="117">
      <calculatedColumnFormula>(Мособлдума_одномандатный_6[[#This Row],[Вброс]]+Мособлдума_одномандатный_6[[#This Row],[Перекладывание]])/2</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A9C9BB-2054-4B29-BD2C-885058A99426}" name="Мособлдума_одномандатный_13" displayName="Мособлдума_одномандатный_13" ref="B1:AR184" totalsRowCount="1" headerRowDxfId="116" dataDxfId="115" totalsRowDxfId="114">
  <autoFilter ref="B1:AR183" xr:uid="{5E1284C9-1234-472E-9171-6AB2E0C95217}"/>
  <tableColumns count="43">
    <tableColumn id="1" xr3:uid="{CB789F5D-6B36-474D-AA30-54827A73B594}" name="level" totalsRowLabel="Total" dataDxfId="113" totalsRowDxfId="112"/>
    <tableColumn id="2" xr3:uid="{77C558E7-3CBB-4FC2-827B-A8722EF82611}" name="oik" dataDxfId="111" totalsRowDxfId="110"/>
    <tableColumn id="3" xr3:uid="{7F81DB83-99B5-4E6A-A12E-489E1EE2B924}" name="tik" dataDxfId="109" totalsRowDxfId="108"/>
    <tableColumn id="4" xr3:uid="{E3DE46AA-0D96-444A-9C52-5F2B0DC90933}" name="uik" dataDxfId="107" totalsRowDxfId="106"/>
    <tableColumn id="37" xr3:uid="{F084ADDA-C65B-4345-B9A8-3AF2189DBDE3}" name="УИК" totalsRowFunction="count" dataDxfId="105" totalsRowDxfId="104">
      <calculatedColumnFormula>SUMPRODUCT(MID(0&amp;E2, LARGE(INDEX(ISNUMBER(--MID(E2, ROW(INDIRECT("1:"&amp;LEN(E2))), 1)) * ROW(INDIRECT("1:"&amp;LEN(E2))), 0), ROW(INDIRECT("1:"&amp;LEN(E2))))+1, 1) * 10^ROW(INDIRECT("1:"&amp;LEN(E2)))/10)</calculatedColumnFormula>
    </tableColumn>
    <tableColumn id="38" xr3:uid="{9C5F3A4F-0963-4535-BCDA-6ECFFAD37298}" name="Местоположение" dataDxfId="103" totalsRowDxfId="102">
      <calculatedColumnFormula>Дума_партии[[#This Row],[Местоположение]]</calculatedColumnFormula>
    </tableColumn>
    <tableColumn id="42" xr3:uid="{3294A6F4-03EA-4529-8D0F-C28E705446FD}" name="ТИК" dataDxfId="101" totalsRowDxfId="100">
      <calculatedColumnFormula>LEFT(Мособлдума_одномандатный_13[[#This Row],[tik]],4)&amp;"."&amp;IF(ISNUMBER(VALUE(RIGHT(Мособлдума_одномандатный_13[[#This Row],[tik]]))),RIGHT(Мособлдума_одномандатный_13[[#This Row],[tik]]),"")</calculatedColumnFormula>
    </tableColumn>
    <tableColumn id="9" xr3:uid="{307878EA-7B6E-4283-99CA-7402C5C072F1}" name="Число избирателей, внесенных в список на момент окончания голосования" totalsRowFunction="sum" dataDxfId="99" totalsRowDxfId="98"/>
    <tableColumn id="5" xr3:uid="{4998175D-1C09-4743-B13E-285A1211B98C}" name="Вес участка" dataDxfId="97" totalsRowDxfId="96">
      <calculatedColumnFormula>Мособлдума_одномандатный_13[[#This Row],[Число избирателей, внесенных в список на момент окончания голосования]]</calculatedColumnFormula>
    </tableColumn>
    <tableColumn id="6" xr3:uid="{23D68665-0491-462B-AF27-14E3F7DB3B45}" name="Число бюллетеней, полученных участковой избирательной комиссией" dataDxfId="95" totalsRowDxfId="94"/>
    <tableColumn id="39" xr3:uid="{089FFA9C-322E-4DAC-85CB-38ED6804D489}" name="Column4" dataDxfId="93" totalsRowDxfId="92"/>
    <tableColumn id="7" xr3:uid="{FC32AF55-FF79-40AB-A3DF-94511CF6D38F}" name="Число бюллетеней, выданных избирателям в помещении для голосования в день голосования" totalsRowFunction="sum" dataDxfId="91" totalsRowDxfId="90"/>
    <tableColumn id="8" xr3:uid="{BDD8C378-E5A2-4DFC-850D-D9B3E527BAEE}" name="Число бюллетеней, выданных избирателям, проголосовавшим вне помещения для голосования в день голосо" totalsRowFunction="sum" dataDxfId="89" totalsRowDxfId="88"/>
    <tableColumn id="11" xr3:uid="{A4DD2E98-5B7F-41C4-B107-D7655535645B}" name="Явка" dataDxfId="87" totalsRowDxfId="86">
      <calculatedColumnFormula>100*(M2+N2)/I2</calculatedColumnFormula>
    </tableColumn>
    <tableColumn id="12" xr3:uid="{37856208-431F-4114-A171-DED0438F00CC}" name="Надомка от списка" dataDxfId="85" totalsRowDxfId="84">
      <calculatedColumnFormula>100*N2/I2</calculatedColumnFormula>
    </tableColumn>
    <tableColumn id="13" xr3:uid="{7C89EB2D-B049-4C80-94E5-7DFA86DB81DA}" name="Число погашенных бюллетеней" dataDxfId="83" totalsRowDxfId="82"/>
    <tableColumn id="14" xr3:uid="{9785B7D9-BE7A-46D5-9EDB-9D3B69322446}" name="Число бюллетеней, содержащихся в переносных ящиках для голосования" dataDxfId="81" totalsRowDxfId="80"/>
    <tableColumn id="15" xr3:uid="{63FC0184-39D0-4B71-9BC5-5A606A99D258}" name="Число бюллетеней, содержащихся в стационарных ящиках для голосования" dataDxfId="79" totalsRowDxfId="78"/>
    <tableColumn id="16" xr3:uid="{B58EEF4A-75C5-44DF-BB7C-FE7075FC5A7A}" name="Обнаружено" totalsRowFunction="sum" dataDxfId="77" totalsRowDxfId="76">
      <calculatedColumnFormula>R2+S2</calculatedColumnFormula>
    </tableColumn>
    <tableColumn id="17" xr3:uid="{6783D664-CFFF-4BE8-8DD0-0104F149D15D}" name="Надомка" dataDxfId="75" totalsRowDxfId="74">
      <calculatedColumnFormula>100*R2/T2</calculatedColumnFormula>
    </tableColumn>
    <tableColumn id="18" xr3:uid="{4A2931BB-ADC3-4CAD-8655-B8B69FC2DAA1}" name="Число недействительных бюллетеней" dataDxfId="73" totalsRowDxfId="72"/>
    <tableColumn id="19" xr3:uid="{C6A2910F-9599-4873-A191-965148BA5CF9}" name="Недействительных" dataDxfId="71" totalsRowDxfId="70">
      <calculatedColumnFormula>100*V2/T2</calculatedColumnFormula>
    </tableColumn>
    <tableColumn id="20" xr3:uid="{0AF3F01F-211E-42D4-8ACE-B862168E8576}" name="Число действительных бюллетеней" totalsRowFunction="sum" dataDxfId="69" totalsRowDxfId="68"/>
    <tableColumn id="21" xr3:uid="{40BA9C9A-29A6-4C67-A971-2D3541224CD3}" name="Число утраченных бюллетеней" dataDxfId="67" totalsRowDxfId="66"/>
    <tableColumn id="22" xr3:uid="{774CDDCF-E48B-42D7-866C-807C3D2FEE9D}" name="Число бюллетеней, не учтенных при получении" dataDxfId="65" totalsRowDxfId="64"/>
    <tableColumn id="23" xr3:uid="{32265CF2-0D50-4382-A469-8587A40FD5F3}" name="Вавилов Игорь Васильевич" totalsRowFunction="sum" dataDxfId="63" totalsRowDxfId="62"/>
    <tableColumn id="24" xr3:uid="{73DA275E-4F75-4EF9-BE0F-F39887C7C423}" name="Вавилов (КПРФ)" dataDxfId="61" totalsRowDxfId="60">
      <calculatedColumnFormula>100*AA2/$T2</calculatedColumnFormula>
    </tableColumn>
    <tableColumn id="25" xr3:uid="{5A674E51-075E-4868-A556-8F033771B77B}" name="Дорогих Иван Михайлович" totalsRowFunction="sum" dataDxfId="59" totalsRowDxfId="58"/>
    <tableColumn id="26" xr3:uid="{566724AB-B8B2-4326-A7F7-D4C27372DEEC}" name="Дорогих (Пенсионеров)" dataDxfId="57" totalsRowDxfId="56">
      <calculatedColumnFormula>100*AC2/$T2</calculatedColumnFormula>
    </tableColumn>
    <tableColumn id="27" xr3:uid="{1C29BB3E-021B-49A8-BFB5-3F7C964E269B}" name="Марушкин Олег Генадиевич" totalsRowFunction="sum" dataDxfId="55" totalsRowDxfId="54"/>
    <tableColumn id="28" xr3:uid="{F6C82E11-3C3D-44BF-A8FD-540F49DC3946}" name="Марушкин (СР)" dataDxfId="53" totalsRowDxfId="52">
      <calculatedColumnFormula>100*AE2/$T2</calculatedColumnFormula>
    </tableColumn>
    <tableColumn id="29" xr3:uid="{A69605C3-F1C5-4026-9A3E-828D5A2A74BF}" name="Павлова Татьяна Михайловна" totalsRowFunction="sum" dataDxfId="51" totalsRowDxfId="50"/>
    <tableColumn id="30" xr3:uid="{18495AAB-04DA-4AE0-9CAF-F4272ABB5F4E}" name="Павлова (Яблоко)" dataDxfId="49" totalsRowDxfId="48">
      <calculatedColumnFormula>100*AG2/$T2</calculatedColumnFormula>
    </tableColumn>
    <tableColumn id="31" xr3:uid="{CA30A88F-AE55-45F9-8BDD-4397B59E6BEA}" name="Пархоменко Дмитрий Владимирович" totalsRowFunction="sum" dataDxfId="47" totalsRowDxfId="46"/>
    <tableColumn id="32" xr3:uid="{84B801B3-B1DF-4446-BEFD-33970D86FAA7}" name="Пархоменко (ЛДПР)" dataDxfId="45" totalsRowDxfId="44">
      <calculatedColumnFormula>100*AI2/$T2</calculatedColumnFormula>
    </tableColumn>
    <tableColumn id="33" xr3:uid="{02315E54-BF10-4C40-8F90-F3843D542F45}" name="Рожнов Олег Александрович" totalsRowFunction="sum" dataDxfId="43" totalsRowDxfId="42"/>
    <tableColumn id="34" xr3:uid="{735A05C4-81F2-45AA-B630-D8C91385A931}" name="Рожнов (Единая Россия)" dataDxfId="41" totalsRowDxfId="40">
      <calculatedColumnFormula>100*AK2/$T2</calculatedColumnFormula>
    </tableColumn>
    <tableColumn id="35" xr3:uid="{BB0D09CB-A406-4DB4-9976-641B4B836796}" name="url" dataDxfId="39" totalsRowDxfId="38"/>
    <tableColumn id="43" xr3:uid="{2E9BB308-C1EC-4ED2-834C-7EE44F1C35C8}" name="КОИБ" totalsRowFunction="countNums" dataDxfId="37">
      <calculatedColumnFormula>Дума_партии[[#This Row],[КОИБ]]</calculatedColumnFormula>
    </tableColumn>
    <tableColumn id="36" xr3:uid="{1281F9FF-4CDD-4242-A270-FC8094780CAA}" name="Наблюдателей" totalsRowFunction="countNums" dataDxfId="36" totalsRowDxfId="35">
      <calculatedColumnFormula>IF(Дума_партии[[#This Row],[Наблюдателей]]=0,"",Дума_партии[[#This Row],[Наблюдателей]])</calculatedColumnFormula>
    </tableColumn>
    <tableColumn id="10" xr3:uid="{12479750-CA1B-4F4B-9A9E-12CB2D2C58B2}" name="Вброс" totalsRowFunction="sum" dataDxfId="34" totalsRowDxfId="33">
      <calculatedColumnFormula>Мособлдума_одномандатный_13[[#This Row],[Рожнов Олег Александрович]]-((AC$54/100)/(1-(AC$54/100)))*(Мособлдума_одномандатный_13[[#This Row],[Число действительных бюллетеней]]-Мособлдума_одномандатный_13[[#This Row],[Рожнов Олег Александрович]])</calculatedColumnFormula>
    </tableColumn>
    <tableColumn id="40" xr3:uid="{72DD14E4-6A11-46F5-A84B-674CC23941F3}" name="Перекладывание" totalsRowFunction="sum" dataDxfId="32" totalsRowDxfId="31">
      <calculatedColumnFormula>2*(Мособлдума_одномандатный_13[[#This Row],[Рожнов Олег Александрович]]-(AC$54/100)*Мособлдума_одномандатный_13[[#This Row],[Число действительных бюллетеней]])</calculatedColumnFormula>
    </tableColumn>
    <tableColumn id="41" xr3:uid="{4717E78D-858C-4878-A7C4-D0554737CBDF}" name="Оценка числа бюллетеней, сфальсифицированных в пользу ЕР" totalsRowFunction="sum" dataDxfId="30" totalsRowDxfId="29">
      <calculatedColumnFormula>(Мособлдума_одномандатный_13[[#This Row],[Вброс]]+Мособлдума_одномандатный_13[[#This Row],[Перекладывание]])/2</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D7686F8-83D7-404E-8838-E8C0ED224C5F}" name="Оценка_фальсификаций" displayName="Оценка_фальсификаций" ref="A1:M184" totalsRowCount="1" headerRowDxfId="28" dataDxfId="27" totalsRowDxfId="26">
  <autoFilter ref="A1:M183" xr:uid="{57CC914C-B208-40B2-A4FE-7B8EF7BF2E7B}"/>
  <sortState xmlns:xlrd2="http://schemas.microsoft.com/office/spreadsheetml/2017/richdata2" ref="A2:M183">
    <sortCondition descending="1" ref="K1:K183"/>
  </sortState>
  <tableColumns count="13">
    <tableColumn id="53" xr3:uid="{80750944-ACA0-44BD-97DF-9EFFEBC02D17}" name="УИК" totalsRowFunction="count" dataDxfId="25" totalsRowDxfId="24"/>
    <tableColumn id="54" xr3:uid="{E30EEC28-1DA5-4D7D-88B9-2BBCCC368B10}" name="Местоположение" dataDxfId="23" totalsRowDxfId="22"/>
    <tableColumn id="4" xr3:uid="{9E6BED99-EFA1-4A24-96CF-038FF05B2232}" name="ТИК" dataDxfId="21" totalsRowDxfId="20"/>
    <tableColumn id="59" xr3:uid="{0B9867D5-4299-4691-B8C5-539D78BFE23C}" name="Избирателей в списках" totalsRowFunction="sum" dataDxfId="19" totalsRowDxfId="18"/>
    <tableColumn id="5" xr3:uid="{C7DD6EBA-278B-495A-9C42-C58F2E1EAE22}" name="КОИБ" totalsRowFunction="countNums" dataDxfId="17" totalsRowDxfId="16"/>
    <tableColumn id="3" xr3:uid="{3D963310-F006-4CA4-A7D5-CEC1EBA74CFD}" name="Наблюдателей" totalsRowFunction="countNums" dataDxfId="15" totalsRowDxfId="14"/>
    <tableColumn id="58" xr3:uid="{D53BB547-484D-41B4-833B-BC41FDB68607}" name="Ф. дума партии" totalsRowFunction="sum" dataDxfId="13" totalsRowDxfId="12"/>
    <tableColumn id="60" xr3:uid="{156F91DE-B6EC-4B5F-8045-0B6CA08596EB}" name="Ф. мособлдума партии" totalsRowFunction="sum" dataDxfId="11" totalsRowDxfId="10"/>
    <tableColumn id="61" xr3:uid="{5E2B6BDF-9512-4DCB-B69F-EEA92B545A4C}" name="Ф. дума одномандатный" totalsRowFunction="sum" dataDxfId="9" totalsRowDxfId="8"/>
    <tableColumn id="62" xr3:uid="{81AC1CFF-7030-4760-AC02-8940B3DDD11A}" name="Ф. мособлдума одномандатный" totalsRowFunction="sum" dataDxfId="7" totalsRowDxfId="6"/>
    <tableColumn id="63" xr3:uid="{D8F0A79D-87E8-4884-A93B-27640842F784}" name="Ф. наборов бюллетеней" totalsRowFunction="sum" dataDxfId="5" totalsRowDxfId="4">
      <calculatedColumnFormula>AVERAGE(Оценка_фальсификаций[[#This Row],[Ф. дума партии]:[Ф. мособлдума одномандатный]])</calculatedColumnFormula>
    </tableColumn>
    <tableColumn id="1" xr3:uid="{8E0A957E-D92F-4C78-A052-0AF976EEC10D}" name="Председатель УИК" dataDxfId="3" totalsRowDxfId="2"/>
    <tableColumn id="2" xr3:uid="{5897E8AC-787F-4A14-A8D5-ED421CF19DD1}" name="Кем работает полный тёзка председателя"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microsoft.com/office/2007/relationships/slicer" Target="../slicers/slicer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9.xml"/><Relationship Id="rId1" Type="http://schemas.openxmlformats.org/officeDocument/2006/relationships/printerSettings" Target="../printerSettings/printerSettings5.bin"/><Relationship Id="rId4" Type="http://schemas.microsoft.com/office/2007/relationships/slicer" Target="../slicers/slicer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04B22-E5C0-40D9-A85C-D01389818E91}">
  <dimension ref="A1:BH222"/>
  <sheetViews>
    <sheetView tabSelected="1" topLeftCell="F1" zoomScale="70" zoomScaleNormal="70" workbookViewId="0">
      <pane ySplit="1" topLeftCell="A172" activePane="bottomLeft" state="frozen"/>
      <selection pane="bottomLeft" activeCell="AF188" sqref="AF188"/>
    </sheetView>
  </sheetViews>
  <sheetFormatPr defaultRowHeight="14.15" x14ac:dyDescent="0.4"/>
  <cols>
    <col min="1" max="5" width="6.23046875" style="1" hidden="1" customWidth="1"/>
    <col min="6" max="6" width="6.23046875" style="1" customWidth="1"/>
    <col min="7" max="7" width="17.07421875" style="1" customWidth="1"/>
    <col min="8" max="9" width="7.3828125" style="1" customWidth="1"/>
    <col min="10" max="12" width="6.23046875" style="1" customWidth="1"/>
    <col min="13" max="13" width="7.3828125" style="1" customWidth="1"/>
    <col min="14" max="14" width="6.23046875" style="1" customWidth="1"/>
    <col min="15" max="16" width="6.23046875" style="3" customWidth="1"/>
    <col min="17" max="19" width="6.23046875" style="1" customWidth="1"/>
    <col min="20" max="20" width="7.4609375" style="1" customWidth="1"/>
    <col min="21" max="21" width="6.23046875" style="3" customWidth="1"/>
    <col min="22" max="22" width="6.23046875" style="1" customWidth="1"/>
    <col min="23" max="23" width="6.23046875" style="3" customWidth="1"/>
    <col min="24" max="24" width="7.4609375" style="1" customWidth="1"/>
    <col min="25" max="27" width="6.23046875" style="1" customWidth="1"/>
    <col min="28" max="28" width="6.23046875" style="3" customWidth="1"/>
    <col min="29" max="29" width="6.23046875" style="1" customWidth="1"/>
    <col min="30" max="30" width="6.23046875" style="3" customWidth="1"/>
    <col min="31" max="31" width="6.23046875" style="1" customWidth="1"/>
    <col min="32" max="32" width="6.23046875" style="3" customWidth="1"/>
    <col min="33" max="33" width="6.23046875" style="1" customWidth="1"/>
    <col min="34" max="34" width="6.23046875" style="3" customWidth="1"/>
    <col min="35" max="35" width="6.23046875" style="1" customWidth="1"/>
    <col min="36" max="36" width="6.23046875" style="3" customWidth="1"/>
    <col min="37" max="37" width="6.23046875" style="1" customWidth="1"/>
    <col min="38" max="38" width="6.23046875" style="3" customWidth="1"/>
    <col min="39" max="39" width="6.23046875" style="1" customWidth="1"/>
    <col min="40" max="40" width="6.23046875" style="3" customWidth="1"/>
    <col min="41" max="41" width="6.23046875" style="1" customWidth="1"/>
    <col min="42" max="42" width="6.23046875" style="3" customWidth="1"/>
    <col min="43" max="43" width="6.23046875" style="1" customWidth="1"/>
    <col min="44" max="44" width="6.23046875" style="3" customWidth="1"/>
    <col min="45" max="45" width="6.23046875" style="1" customWidth="1"/>
    <col min="46" max="46" width="6.23046875" style="3" customWidth="1"/>
    <col min="47" max="47" width="6.23046875" style="1" customWidth="1"/>
    <col min="48" max="48" width="6.23046875" style="3" customWidth="1"/>
    <col min="49" max="49" width="6.23046875" style="1" customWidth="1"/>
    <col min="50" max="50" width="6.23046875" style="3" customWidth="1"/>
    <col min="51" max="51" width="6.23046875" style="1" customWidth="1"/>
    <col min="52" max="52" width="6.23046875" style="3" customWidth="1"/>
    <col min="53" max="53" width="6.23046875" style="1" customWidth="1"/>
    <col min="54" max="54" width="6.23046875" style="3" customWidth="1"/>
    <col min="55" max="56" width="6.23046875" style="1" customWidth="1"/>
    <col min="57" max="59" width="6.53515625" style="10" customWidth="1"/>
    <col min="60" max="16384" width="9.23046875" style="1"/>
  </cols>
  <sheetData>
    <row r="1" spans="1:60" x14ac:dyDescent="0.4">
      <c r="A1" s="4" t="s">
        <v>0</v>
      </c>
      <c r="B1" s="4" t="s">
        <v>1</v>
      </c>
      <c r="C1" s="4" t="s">
        <v>2</v>
      </c>
      <c r="D1" s="4" t="s">
        <v>3</v>
      </c>
      <c r="E1" s="4" t="s">
        <v>4</v>
      </c>
      <c r="F1" s="5" t="s">
        <v>98</v>
      </c>
      <c r="G1" s="5" t="s">
        <v>99</v>
      </c>
      <c r="H1" s="5" t="s">
        <v>316</v>
      </c>
      <c r="I1" s="4" t="s">
        <v>5</v>
      </c>
      <c r="J1" s="5" t="s">
        <v>101</v>
      </c>
      <c r="K1" s="4" t="s">
        <v>6</v>
      </c>
      <c r="L1" s="4" t="s">
        <v>7</v>
      </c>
      <c r="M1" s="4" t="s">
        <v>8</v>
      </c>
      <c r="N1" s="4" t="s">
        <v>9</v>
      </c>
      <c r="O1" s="3" t="s">
        <v>10</v>
      </c>
      <c r="P1" s="6" t="s">
        <v>93</v>
      </c>
      <c r="Q1" s="4" t="s">
        <v>12</v>
      </c>
      <c r="R1" s="4" t="s">
        <v>13</v>
      </c>
      <c r="S1" s="4" t="s">
        <v>14</v>
      </c>
      <c r="T1" s="5" t="s">
        <v>15</v>
      </c>
      <c r="U1" s="7" t="s">
        <v>11</v>
      </c>
      <c r="V1" s="4" t="s">
        <v>16</v>
      </c>
      <c r="W1" s="7" t="s">
        <v>94</v>
      </c>
      <c r="X1" s="4" t="s">
        <v>17</v>
      </c>
      <c r="Y1" s="4" t="s">
        <v>18</v>
      </c>
      <c r="Z1" s="4" t="s">
        <v>19</v>
      </c>
      <c r="AA1" s="4" t="s">
        <v>20</v>
      </c>
      <c r="AB1" s="7" t="s">
        <v>21</v>
      </c>
      <c r="AC1" s="4" t="s">
        <v>22</v>
      </c>
      <c r="AD1" s="7" t="s">
        <v>23</v>
      </c>
      <c r="AE1" s="4" t="s">
        <v>24</v>
      </c>
      <c r="AF1" s="7" t="s">
        <v>25</v>
      </c>
      <c r="AG1" s="4" t="s">
        <v>26</v>
      </c>
      <c r="AH1" s="7" t="s">
        <v>27</v>
      </c>
      <c r="AI1" s="4" t="s">
        <v>28</v>
      </c>
      <c r="AJ1" s="7" t="s">
        <v>29</v>
      </c>
      <c r="AK1" s="4" t="s">
        <v>30</v>
      </c>
      <c r="AL1" s="7" t="s">
        <v>31</v>
      </c>
      <c r="AM1" s="4" t="s">
        <v>32</v>
      </c>
      <c r="AN1" s="7" t="s">
        <v>33</v>
      </c>
      <c r="AO1" s="4" t="s">
        <v>34</v>
      </c>
      <c r="AP1" s="7" t="s">
        <v>35</v>
      </c>
      <c r="AQ1" s="4" t="s">
        <v>36</v>
      </c>
      <c r="AR1" s="7" t="s">
        <v>37</v>
      </c>
      <c r="AS1" s="4" t="s">
        <v>38</v>
      </c>
      <c r="AT1" s="7" t="s">
        <v>39</v>
      </c>
      <c r="AU1" s="4" t="s">
        <v>40</v>
      </c>
      <c r="AV1" s="7" t="s">
        <v>41</v>
      </c>
      <c r="AW1" s="4" t="s">
        <v>42</v>
      </c>
      <c r="AX1" s="7" t="s">
        <v>43</v>
      </c>
      <c r="AY1" s="4" t="s">
        <v>44</v>
      </c>
      <c r="AZ1" s="7" t="s">
        <v>45</v>
      </c>
      <c r="BA1" s="4" t="s">
        <v>46</v>
      </c>
      <c r="BB1" s="7" t="s">
        <v>47</v>
      </c>
      <c r="BC1" s="4" t="s">
        <v>48</v>
      </c>
      <c r="BD1" s="71" t="s">
        <v>454</v>
      </c>
      <c r="BE1" s="12" t="s">
        <v>96</v>
      </c>
      <c r="BF1" s="11" t="s">
        <v>115</v>
      </c>
      <c r="BG1" s="11" t="s">
        <v>116</v>
      </c>
      <c r="BH1" s="11" t="s">
        <v>117</v>
      </c>
    </row>
    <row r="2" spans="1:60" x14ac:dyDescent="0.4">
      <c r="A2" t="s">
        <v>49</v>
      </c>
      <c r="B2" t="s">
        <v>50</v>
      </c>
      <c r="C2" t="s">
        <v>51</v>
      </c>
      <c r="D2" t="s">
        <v>128</v>
      </c>
      <c r="E2" t="s">
        <v>129</v>
      </c>
      <c r="F2" s="2">
        <f t="shared" ref="F2:F33" ca="1" si="0">SUMPRODUCT(MID(0&amp;E2, LARGE(INDEX(ISNUMBER(--MID(E2, ROW(INDIRECT("1:"&amp;LEN(E2))), 1)) * ROW(INDIRECT("1:"&amp;LEN(E2))), 0), ROW(INDIRECT("1:"&amp;LEN(E2))))+1, 1) * 10^ROW(INDIRECT("1:"&amp;LEN(E2)))/10)</f>
        <v>212</v>
      </c>
      <c r="G2" t="s">
        <v>312</v>
      </c>
      <c r="H2" t="str">
        <f>LEFT(Дума_партии[[#This Row],[tik]],4)&amp;"."&amp;IF(ISNUMBER(VALUE(RIGHT(Дума_партии[[#This Row],[tik]]))),RIGHT(Дума_партии[[#This Row],[tik]]),"")</f>
        <v>Влас.</v>
      </c>
      <c r="I2">
        <v>2451</v>
      </c>
      <c r="J2" s="1">
        <f>Дума_партии[[#This Row],[Число избирателей, внесенных в список избирателей на момент окончания голосования]]</f>
        <v>2451</v>
      </c>
      <c r="K2">
        <v>2500</v>
      </c>
      <c r="L2">
        <v>0</v>
      </c>
      <c r="M2">
        <v>1593</v>
      </c>
      <c r="N2">
        <v>19</v>
      </c>
      <c r="O2" s="3">
        <f t="shared" ref="O2:O33" si="1">100*(M2+N2)/I2</f>
        <v>65.769073847409217</v>
      </c>
      <c r="P2" s="3">
        <f t="shared" ref="P2:P33" si="2">100*N2/I2</f>
        <v>0.77519379844961245</v>
      </c>
      <c r="Q2">
        <v>888</v>
      </c>
      <c r="R2">
        <v>19</v>
      </c>
      <c r="S2">
        <v>1593</v>
      </c>
      <c r="T2" s="1">
        <f t="shared" ref="T2:T33" si="3">R2+S2</f>
        <v>1612</v>
      </c>
      <c r="U2" s="3">
        <f t="shared" ref="U2:U33" si="4">100*R2/T2</f>
        <v>1.1786600496277915</v>
      </c>
      <c r="V2">
        <v>21</v>
      </c>
      <c r="W2" s="3">
        <f t="shared" ref="W2:W33" si="5">100*V2/T2</f>
        <v>1.3027295285359801</v>
      </c>
      <c r="X2">
        <v>1591</v>
      </c>
      <c r="Y2">
        <v>0</v>
      </c>
      <c r="Z2">
        <v>0</v>
      </c>
      <c r="AA2">
        <v>310</v>
      </c>
      <c r="AB2" s="3">
        <f t="shared" ref="AB2:AB33" si="6">100*AA2/$T2</f>
        <v>19.23076923076923</v>
      </c>
      <c r="AC2">
        <v>36</v>
      </c>
      <c r="AD2" s="3">
        <f t="shared" ref="AD2:AD33" si="7">100*AC2/$T2</f>
        <v>2.2332506203473947</v>
      </c>
      <c r="AE2">
        <v>120</v>
      </c>
      <c r="AF2" s="3">
        <f t="shared" ref="AF2:AF33" si="8">100*AE2/$T2</f>
        <v>7.4441687344913152</v>
      </c>
      <c r="AG2">
        <v>110</v>
      </c>
      <c r="AH2" s="3">
        <f t="shared" ref="AH2:AH33" si="9">100*AG2/$T2</f>
        <v>6.8238213399503724</v>
      </c>
      <c r="AI2">
        <v>726</v>
      </c>
      <c r="AJ2" s="3">
        <f t="shared" ref="AJ2:AJ33" si="10">100*AI2/$T2</f>
        <v>45.037220843672458</v>
      </c>
      <c r="AK2">
        <v>96</v>
      </c>
      <c r="AL2" s="3">
        <f t="shared" ref="AL2:AL33" si="11">100*AK2/$T2</f>
        <v>5.9553349875930524</v>
      </c>
      <c r="AM2">
        <v>14</v>
      </c>
      <c r="AN2" s="3">
        <f t="shared" ref="AN2:AN33" si="12">100*AM2/$T2</f>
        <v>0.86848635235732008</v>
      </c>
      <c r="AO2">
        <v>10</v>
      </c>
      <c r="AP2" s="3">
        <f t="shared" ref="AP2:AP33" si="13">100*AO2/$T2</f>
        <v>0.6203473945409429</v>
      </c>
      <c r="AQ2">
        <v>16</v>
      </c>
      <c r="AR2" s="3">
        <f t="shared" ref="AR2:AR33" si="14">100*AQ2/$T2</f>
        <v>0.99255583126550873</v>
      </c>
      <c r="AS2">
        <v>35</v>
      </c>
      <c r="AT2" s="3">
        <f t="shared" ref="AT2:AT33" si="15">100*AS2/$T2</f>
        <v>2.1712158808933002</v>
      </c>
      <c r="AU2">
        <v>2</v>
      </c>
      <c r="AV2" s="3">
        <f t="shared" ref="AV2:AV33" si="16">100*AU2/$T2</f>
        <v>0.12406947890818859</v>
      </c>
      <c r="AW2">
        <v>21</v>
      </c>
      <c r="AX2" s="3">
        <f t="shared" ref="AX2:AX33" si="17">100*AW2/$T2</f>
        <v>1.3027295285359801</v>
      </c>
      <c r="AY2">
        <v>18</v>
      </c>
      <c r="AZ2" s="3">
        <f t="shared" ref="AZ2:AZ33" si="18">100*AY2/$T2</f>
        <v>1.1166253101736974</v>
      </c>
      <c r="BA2">
        <v>77</v>
      </c>
      <c r="BB2" s="3">
        <f t="shared" ref="BB2:BB33" si="19">100*BA2/$T2</f>
        <v>4.7766749379652609</v>
      </c>
      <c r="BC2" t="s">
        <v>313</v>
      </c>
      <c r="BD2" t="s">
        <v>455</v>
      </c>
      <c r="BE2" s="1"/>
      <c r="BF2"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381.20979020979024</v>
      </c>
      <c r="BG2" s="10">
        <f>2*(Дума_партии[[#This Row],[5. Всероссийская политическая партия "ЕДИНАЯ РОССИЯ"]]-(AB$203/100)*Дума_партии[[#This Row],[Число действительных избирательных бюллетеней]])</f>
        <v>545.13000000000011</v>
      </c>
      <c r="BH2" s="10">
        <f>(Дума_партии[[#This Row],[Вброс]]+Дума_партии[[#This Row],[Перекладывание]])/2</f>
        <v>463.1698951048952</v>
      </c>
    </row>
    <row r="3" spans="1:60" x14ac:dyDescent="0.4">
      <c r="A3" t="s">
        <v>49</v>
      </c>
      <c r="B3" t="s">
        <v>50</v>
      </c>
      <c r="C3" t="s">
        <v>51</v>
      </c>
      <c r="D3" t="s">
        <v>128</v>
      </c>
      <c r="E3" t="s">
        <v>130</v>
      </c>
      <c r="F3" s="8">
        <f t="shared" ca="1" si="0"/>
        <v>213</v>
      </c>
      <c r="G3" t="s">
        <v>312</v>
      </c>
      <c r="H3" t="str">
        <f>LEFT(Дума_партии[[#This Row],[tik]],4)&amp;"."&amp;IF(ISNUMBER(VALUE(RIGHT(Дума_партии[[#This Row],[tik]]))),RIGHT(Дума_партии[[#This Row],[tik]]),"")</f>
        <v>Влас.</v>
      </c>
      <c r="I3">
        <v>1779</v>
      </c>
      <c r="J3" s="8">
        <f>Дума_партии[[#This Row],[Число избирателей, внесенных в список избирателей на момент окончания голосования]]</f>
        <v>1779</v>
      </c>
      <c r="K3">
        <v>1700</v>
      </c>
      <c r="L3">
        <v>0</v>
      </c>
      <c r="M3">
        <v>914</v>
      </c>
      <c r="N3">
        <v>59</v>
      </c>
      <c r="O3" s="3">
        <f t="shared" si="1"/>
        <v>54.693648116919618</v>
      </c>
      <c r="P3" s="3">
        <f t="shared" si="2"/>
        <v>3.3164699269252389</v>
      </c>
      <c r="Q3">
        <v>727</v>
      </c>
      <c r="R3">
        <v>59</v>
      </c>
      <c r="S3">
        <v>912</v>
      </c>
      <c r="T3" s="1">
        <f t="shared" si="3"/>
        <v>971</v>
      </c>
      <c r="U3" s="3">
        <f t="shared" si="4"/>
        <v>6.0762100926879503</v>
      </c>
      <c r="V3">
        <v>13</v>
      </c>
      <c r="W3" s="3">
        <f t="shared" si="5"/>
        <v>1.3388259526261586</v>
      </c>
      <c r="X3">
        <v>958</v>
      </c>
      <c r="Y3">
        <v>0</v>
      </c>
      <c r="Z3">
        <v>0</v>
      </c>
      <c r="AA3">
        <v>198</v>
      </c>
      <c r="AB3" s="3">
        <f t="shared" si="6"/>
        <v>20.3913491246138</v>
      </c>
      <c r="AC3">
        <v>6</v>
      </c>
      <c r="AD3" s="3">
        <f t="shared" si="7"/>
        <v>0.61791967044284246</v>
      </c>
      <c r="AE3">
        <v>44</v>
      </c>
      <c r="AF3" s="3">
        <f t="shared" si="8"/>
        <v>4.5314109165808443</v>
      </c>
      <c r="AG3">
        <v>44</v>
      </c>
      <c r="AH3" s="3">
        <f t="shared" si="9"/>
        <v>4.5314109165808443</v>
      </c>
      <c r="AI3">
        <v>541</v>
      </c>
      <c r="AJ3" s="3">
        <f t="shared" si="10"/>
        <v>55.71575695159629</v>
      </c>
      <c r="AK3">
        <v>51</v>
      </c>
      <c r="AL3" s="3">
        <f t="shared" si="11"/>
        <v>5.2523171987641604</v>
      </c>
      <c r="AM3">
        <v>11</v>
      </c>
      <c r="AN3" s="3">
        <f t="shared" si="12"/>
        <v>1.1328527291452111</v>
      </c>
      <c r="AO3">
        <v>3</v>
      </c>
      <c r="AP3" s="3">
        <f t="shared" si="13"/>
        <v>0.30895983522142123</v>
      </c>
      <c r="AQ3">
        <v>4</v>
      </c>
      <c r="AR3" s="3">
        <f t="shared" si="14"/>
        <v>0.41194644696189497</v>
      </c>
      <c r="AS3">
        <v>8</v>
      </c>
      <c r="AT3" s="3">
        <f t="shared" si="15"/>
        <v>0.82389289392378995</v>
      </c>
      <c r="AU3">
        <v>1</v>
      </c>
      <c r="AV3" s="3">
        <f t="shared" si="16"/>
        <v>0.10298661174047374</v>
      </c>
      <c r="AW3">
        <v>9</v>
      </c>
      <c r="AX3" s="3">
        <f t="shared" si="17"/>
        <v>0.92687950566426369</v>
      </c>
      <c r="AY3">
        <v>10</v>
      </c>
      <c r="AZ3" s="3">
        <f t="shared" si="18"/>
        <v>1.0298661174047374</v>
      </c>
      <c r="BA3">
        <v>28</v>
      </c>
      <c r="BB3" s="3">
        <f t="shared" si="19"/>
        <v>2.8836251287332648</v>
      </c>
      <c r="BC3" t="s">
        <v>313</v>
      </c>
      <c r="BD3" t="s">
        <v>455</v>
      </c>
      <c r="BE3" s="1"/>
      <c r="BF3"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374.7832167832168</v>
      </c>
      <c r="BG3" s="10">
        <f>2*(Дума_партии[[#This Row],[5. Всероссийская политическая партия "ЕДИНАЯ РОССИЯ"]]-(AB$203/100)*Дума_партии[[#This Row],[Число действительных избирательных бюллетеней]])</f>
        <v>535.94000000000005</v>
      </c>
      <c r="BH3" s="10">
        <f>(Дума_партии[[#This Row],[Вброс]]+Дума_партии[[#This Row],[Перекладывание]])/2</f>
        <v>455.36160839160846</v>
      </c>
    </row>
    <row r="4" spans="1:60" s="3" customFormat="1" x14ac:dyDescent="0.4">
      <c r="A4" t="s">
        <v>49</v>
      </c>
      <c r="B4" t="s">
        <v>50</v>
      </c>
      <c r="C4" t="s">
        <v>51</v>
      </c>
      <c r="D4" t="s">
        <v>128</v>
      </c>
      <c r="E4" t="s">
        <v>131</v>
      </c>
      <c r="F4" s="8">
        <f t="shared" ca="1" si="0"/>
        <v>214</v>
      </c>
      <c r="G4" t="s">
        <v>312</v>
      </c>
      <c r="H4" t="str">
        <f>LEFT(Дума_партии[[#This Row],[tik]],4)&amp;"."&amp;IF(ISNUMBER(VALUE(RIGHT(Дума_партии[[#This Row],[tik]]))),RIGHT(Дума_партии[[#This Row],[tik]]),"")</f>
        <v>Влас.</v>
      </c>
      <c r="I4">
        <v>1942</v>
      </c>
      <c r="J4" s="8">
        <f>Дума_партии[[#This Row],[Число избирателей, внесенных в список избирателей на момент окончания голосования]]</f>
        <v>1942</v>
      </c>
      <c r="K4">
        <v>2000</v>
      </c>
      <c r="L4">
        <v>0</v>
      </c>
      <c r="M4">
        <v>1019</v>
      </c>
      <c r="N4">
        <v>75</v>
      </c>
      <c r="O4" s="3">
        <f t="shared" si="1"/>
        <v>56.333676622039135</v>
      </c>
      <c r="P4" s="3">
        <f t="shared" si="2"/>
        <v>3.8619979402677651</v>
      </c>
      <c r="Q4">
        <v>906</v>
      </c>
      <c r="R4">
        <v>75</v>
      </c>
      <c r="S4">
        <v>1018</v>
      </c>
      <c r="T4" s="1">
        <f t="shared" si="3"/>
        <v>1093</v>
      </c>
      <c r="U4" s="3">
        <f t="shared" si="4"/>
        <v>6.861848124428179</v>
      </c>
      <c r="V4">
        <v>17</v>
      </c>
      <c r="W4" s="3">
        <f t="shared" si="5"/>
        <v>1.555352241537054</v>
      </c>
      <c r="X4">
        <v>1076</v>
      </c>
      <c r="Y4">
        <v>0</v>
      </c>
      <c r="Z4">
        <v>0</v>
      </c>
      <c r="AA4">
        <v>116</v>
      </c>
      <c r="AB4" s="3">
        <f t="shared" si="6"/>
        <v>10.612991765782251</v>
      </c>
      <c r="AC4">
        <v>6</v>
      </c>
      <c r="AD4" s="3">
        <f t="shared" si="7"/>
        <v>0.54894784995425439</v>
      </c>
      <c r="AE4">
        <v>19</v>
      </c>
      <c r="AF4" s="3">
        <f t="shared" si="8"/>
        <v>1.7383348581884721</v>
      </c>
      <c r="AG4">
        <v>13</v>
      </c>
      <c r="AH4" s="3">
        <f t="shared" si="9"/>
        <v>1.1893870082342177</v>
      </c>
      <c r="AI4">
        <v>874</v>
      </c>
      <c r="AJ4" s="3">
        <f t="shared" si="10"/>
        <v>79.963403476669711</v>
      </c>
      <c r="AK4">
        <v>11</v>
      </c>
      <c r="AL4" s="3">
        <f t="shared" si="11"/>
        <v>1.0064043915827996</v>
      </c>
      <c r="AM4">
        <v>7</v>
      </c>
      <c r="AN4" s="3">
        <f t="shared" si="12"/>
        <v>0.64043915827996345</v>
      </c>
      <c r="AO4">
        <v>5</v>
      </c>
      <c r="AP4" s="3">
        <f t="shared" si="13"/>
        <v>0.45745654162854527</v>
      </c>
      <c r="AQ4">
        <v>3</v>
      </c>
      <c r="AR4" s="3">
        <f t="shared" si="14"/>
        <v>0.27447392497712719</v>
      </c>
      <c r="AS4">
        <v>4</v>
      </c>
      <c r="AT4" s="3">
        <f t="shared" si="15"/>
        <v>0.36596523330283626</v>
      </c>
      <c r="AU4">
        <v>0</v>
      </c>
      <c r="AV4" s="3">
        <f t="shared" si="16"/>
        <v>0</v>
      </c>
      <c r="AW4">
        <v>7</v>
      </c>
      <c r="AX4" s="3">
        <f t="shared" si="17"/>
        <v>0.64043915827996345</v>
      </c>
      <c r="AY4">
        <v>4</v>
      </c>
      <c r="AZ4" s="3">
        <f t="shared" si="18"/>
        <v>0.36596523330283626</v>
      </c>
      <c r="BA4">
        <v>7</v>
      </c>
      <c r="BB4" s="3">
        <f t="shared" si="19"/>
        <v>0.64043915827996345</v>
      </c>
      <c r="BC4" t="s">
        <v>313</v>
      </c>
      <c r="BD4" t="s">
        <v>455</v>
      </c>
      <c r="BE4" s="1"/>
      <c r="BF4"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793.48251748251755</v>
      </c>
      <c r="BG4" s="10">
        <f>2*(Дума_партии[[#This Row],[5. Всероссийская политическая партия "ЕДИНАЯ РОССИЯ"]]-(AB$203/100)*Дума_партии[[#This Row],[Число действительных избирательных бюллетеней]])</f>
        <v>1134.68</v>
      </c>
      <c r="BH4" s="10">
        <f>(Дума_партии[[#This Row],[Вброс]]+Дума_партии[[#This Row],[Перекладывание]])/2</f>
        <v>964.08125874125881</v>
      </c>
    </row>
    <row r="5" spans="1:60" x14ac:dyDescent="0.4">
      <c r="A5" t="s">
        <v>49</v>
      </c>
      <c r="B5" t="s">
        <v>50</v>
      </c>
      <c r="C5" t="s">
        <v>51</v>
      </c>
      <c r="D5" t="s">
        <v>128</v>
      </c>
      <c r="E5" t="s">
        <v>132</v>
      </c>
      <c r="F5" s="8">
        <f t="shared" ca="1" si="0"/>
        <v>215</v>
      </c>
      <c r="G5" t="s">
        <v>312</v>
      </c>
      <c r="H5" t="str">
        <f>LEFT(Дума_партии[[#This Row],[tik]],4)&amp;"."&amp;IF(ISNUMBER(VALUE(RIGHT(Дума_партии[[#This Row],[tik]]))),RIGHT(Дума_партии[[#This Row],[tik]]),"")</f>
        <v>Влас.</v>
      </c>
      <c r="I5">
        <v>2110</v>
      </c>
      <c r="J5" s="8">
        <f>Дума_партии[[#This Row],[Число избирателей, внесенных в список избирателей на момент окончания голосования]]</f>
        <v>2110</v>
      </c>
      <c r="K5">
        <v>2100</v>
      </c>
      <c r="L5">
        <v>0</v>
      </c>
      <c r="M5">
        <v>1179</v>
      </c>
      <c r="N5">
        <v>22</v>
      </c>
      <c r="O5" s="3">
        <f t="shared" si="1"/>
        <v>56.919431279620852</v>
      </c>
      <c r="P5" s="3">
        <f t="shared" si="2"/>
        <v>1.0426540284360191</v>
      </c>
      <c r="Q5">
        <v>895</v>
      </c>
      <c r="R5">
        <v>22</v>
      </c>
      <c r="S5">
        <v>1175</v>
      </c>
      <c r="T5" s="1">
        <f t="shared" si="3"/>
        <v>1197</v>
      </c>
      <c r="U5" s="3">
        <f t="shared" si="4"/>
        <v>1.8379281537176273</v>
      </c>
      <c r="V5">
        <v>26</v>
      </c>
      <c r="W5" s="3">
        <f t="shared" si="5"/>
        <v>2.1720969089390141</v>
      </c>
      <c r="X5">
        <v>1171</v>
      </c>
      <c r="Y5">
        <v>4</v>
      </c>
      <c r="Z5">
        <v>0</v>
      </c>
      <c r="AA5">
        <v>231</v>
      </c>
      <c r="AB5" s="3">
        <f t="shared" si="6"/>
        <v>19.298245614035089</v>
      </c>
      <c r="AC5">
        <v>2</v>
      </c>
      <c r="AD5" s="3">
        <f t="shared" si="7"/>
        <v>0.16708437761069339</v>
      </c>
      <c r="AE5">
        <v>48</v>
      </c>
      <c r="AF5" s="3">
        <f t="shared" si="8"/>
        <v>4.0100250626566414</v>
      </c>
      <c r="AG5">
        <v>27</v>
      </c>
      <c r="AH5" s="3">
        <f t="shared" si="9"/>
        <v>2.255639097744361</v>
      </c>
      <c r="AI5">
        <v>714</v>
      </c>
      <c r="AJ5" s="3">
        <f t="shared" si="10"/>
        <v>59.649122807017541</v>
      </c>
      <c r="AK5">
        <v>51</v>
      </c>
      <c r="AL5" s="3">
        <f t="shared" si="11"/>
        <v>4.2606516290726821</v>
      </c>
      <c r="AM5">
        <v>16</v>
      </c>
      <c r="AN5" s="3">
        <f t="shared" si="12"/>
        <v>1.3366750208855471</v>
      </c>
      <c r="AO5">
        <v>6</v>
      </c>
      <c r="AP5" s="3">
        <f t="shared" si="13"/>
        <v>0.50125313283208017</v>
      </c>
      <c r="AQ5">
        <v>14</v>
      </c>
      <c r="AR5" s="3">
        <f t="shared" si="14"/>
        <v>1.1695906432748537</v>
      </c>
      <c r="AS5">
        <v>13</v>
      </c>
      <c r="AT5" s="3">
        <f t="shared" si="15"/>
        <v>1.086048454469507</v>
      </c>
      <c r="AU5">
        <v>2</v>
      </c>
      <c r="AV5" s="3">
        <f t="shared" si="16"/>
        <v>0.16708437761069339</v>
      </c>
      <c r="AW5">
        <v>4</v>
      </c>
      <c r="AX5" s="3">
        <f t="shared" si="17"/>
        <v>0.33416875522138678</v>
      </c>
      <c r="AY5">
        <v>12</v>
      </c>
      <c r="AZ5" s="3">
        <f t="shared" si="18"/>
        <v>1.0025062656641603</v>
      </c>
      <c r="BA5">
        <v>31</v>
      </c>
      <c r="BB5" s="3">
        <f t="shared" si="19"/>
        <v>2.5898078529657478</v>
      </c>
      <c r="BC5" t="s">
        <v>313</v>
      </c>
      <c r="BD5" t="s">
        <v>455</v>
      </c>
      <c r="BE5" s="1"/>
      <c r="BF5"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531.83916083916085</v>
      </c>
      <c r="BG5" s="10">
        <f>2*(Дума_партии[[#This Row],[5. Всероссийская политическая партия "ЕДИНАЯ РОССИЯ"]]-(AB$203/100)*Дума_партии[[#This Row],[Число действительных избирательных бюллетеней]])</f>
        <v>760.53000000000009</v>
      </c>
      <c r="BH5" s="10">
        <f>(Дума_партии[[#This Row],[Вброс]]+Дума_партии[[#This Row],[Перекладывание]])/2</f>
        <v>646.18458041958047</v>
      </c>
    </row>
    <row r="6" spans="1:60" x14ac:dyDescent="0.4">
      <c r="A6" t="s">
        <v>49</v>
      </c>
      <c r="B6" t="s">
        <v>50</v>
      </c>
      <c r="C6" t="s">
        <v>51</v>
      </c>
      <c r="D6" t="s">
        <v>128</v>
      </c>
      <c r="E6" t="s">
        <v>133</v>
      </c>
      <c r="F6" s="8">
        <f t="shared" ca="1" si="0"/>
        <v>216</v>
      </c>
      <c r="G6" t="s">
        <v>312</v>
      </c>
      <c r="H6" t="str">
        <f>LEFT(Дума_партии[[#This Row],[tik]],4)&amp;"."&amp;IF(ISNUMBER(VALUE(RIGHT(Дума_партии[[#This Row],[tik]]))),RIGHT(Дума_партии[[#This Row],[tik]]),"")</f>
        <v>Влас.</v>
      </c>
      <c r="I6">
        <v>1863</v>
      </c>
      <c r="J6" s="8">
        <f>Дума_партии[[#This Row],[Число избирателей, внесенных в список избирателей на момент окончания голосования]]</f>
        <v>1863</v>
      </c>
      <c r="K6">
        <v>1900</v>
      </c>
      <c r="L6">
        <v>0</v>
      </c>
      <c r="M6">
        <v>832</v>
      </c>
      <c r="N6">
        <v>96</v>
      </c>
      <c r="O6" s="3">
        <f t="shared" si="1"/>
        <v>49.812130971551262</v>
      </c>
      <c r="P6" s="3">
        <f t="shared" si="2"/>
        <v>5.1529790660225441</v>
      </c>
      <c r="Q6">
        <v>972</v>
      </c>
      <c r="R6">
        <v>96</v>
      </c>
      <c r="S6">
        <v>830</v>
      </c>
      <c r="T6" s="1">
        <f t="shared" si="3"/>
        <v>926</v>
      </c>
      <c r="U6" s="3">
        <f t="shared" si="4"/>
        <v>10.367170626349893</v>
      </c>
      <c r="V6">
        <v>24</v>
      </c>
      <c r="W6" s="3">
        <f t="shared" si="5"/>
        <v>2.5917926565874732</v>
      </c>
      <c r="X6">
        <v>902</v>
      </c>
      <c r="Y6">
        <v>0</v>
      </c>
      <c r="Z6">
        <v>0</v>
      </c>
      <c r="AA6">
        <v>190</v>
      </c>
      <c r="AB6" s="3">
        <f t="shared" si="6"/>
        <v>20.518358531317496</v>
      </c>
      <c r="AC6">
        <v>19</v>
      </c>
      <c r="AD6" s="3">
        <f t="shared" si="7"/>
        <v>2.0518358531317493</v>
      </c>
      <c r="AE6">
        <v>80</v>
      </c>
      <c r="AF6" s="3">
        <f t="shared" si="8"/>
        <v>8.639308855291576</v>
      </c>
      <c r="AG6">
        <v>71</v>
      </c>
      <c r="AH6" s="3">
        <f t="shared" si="9"/>
        <v>7.6673866090712739</v>
      </c>
      <c r="AI6">
        <v>333</v>
      </c>
      <c r="AJ6" s="3">
        <f t="shared" si="10"/>
        <v>35.961123110151185</v>
      </c>
      <c r="AK6">
        <v>91</v>
      </c>
      <c r="AL6" s="3">
        <f t="shared" si="11"/>
        <v>9.8272138228941692</v>
      </c>
      <c r="AM6">
        <v>21</v>
      </c>
      <c r="AN6" s="3">
        <f t="shared" si="12"/>
        <v>2.2678185745140387</v>
      </c>
      <c r="AO6">
        <v>1</v>
      </c>
      <c r="AP6" s="3">
        <f t="shared" si="13"/>
        <v>0.10799136069114471</v>
      </c>
      <c r="AQ6">
        <v>13</v>
      </c>
      <c r="AR6" s="3">
        <f t="shared" si="14"/>
        <v>1.4038876889848813</v>
      </c>
      <c r="AS6">
        <v>13</v>
      </c>
      <c r="AT6" s="3">
        <f t="shared" si="15"/>
        <v>1.4038876889848813</v>
      </c>
      <c r="AU6">
        <v>2</v>
      </c>
      <c r="AV6" s="3">
        <f t="shared" si="16"/>
        <v>0.21598272138228941</v>
      </c>
      <c r="AW6">
        <v>10</v>
      </c>
      <c r="AX6" s="3">
        <f t="shared" si="17"/>
        <v>1.079913606911447</v>
      </c>
      <c r="AY6">
        <v>14</v>
      </c>
      <c r="AZ6" s="3">
        <f t="shared" si="18"/>
        <v>1.5118790496760259</v>
      </c>
      <c r="BA6">
        <v>44</v>
      </c>
      <c r="BB6" s="3">
        <f t="shared" si="19"/>
        <v>4.7516198704103676</v>
      </c>
      <c r="BC6" t="s">
        <v>313</v>
      </c>
      <c r="BD6" t="s">
        <v>455</v>
      </c>
      <c r="BE6" s="1"/>
      <c r="BF6"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106.19580419580424</v>
      </c>
      <c r="BG6" s="10">
        <f>2*(Дума_партии[[#This Row],[5. Всероссийская политическая партия "ЕДИНАЯ РОССИЯ"]]-(AB$203/100)*Дума_партии[[#This Row],[Число действительных избирательных бюллетеней]])</f>
        <v>151.86000000000001</v>
      </c>
      <c r="BH6" s="10">
        <f>(Дума_партии[[#This Row],[Вброс]]+Дума_партии[[#This Row],[Перекладывание]])/2</f>
        <v>129.02790209790214</v>
      </c>
    </row>
    <row r="7" spans="1:60" x14ac:dyDescent="0.4">
      <c r="A7" t="s">
        <v>49</v>
      </c>
      <c r="B7" t="s">
        <v>50</v>
      </c>
      <c r="C7" t="s">
        <v>51</v>
      </c>
      <c r="D7" t="s">
        <v>128</v>
      </c>
      <c r="E7" t="s">
        <v>134</v>
      </c>
      <c r="F7" s="8">
        <f t="shared" ca="1" si="0"/>
        <v>217</v>
      </c>
      <c r="G7" t="s">
        <v>312</v>
      </c>
      <c r="H7" t="str">
        <f>LEFT(Дума_партии[[#This Row],[tik]],4)&amp;"."&amp;IF(ISNUMBER(VALUE(RIGHT(Дума_партии[[#This Row],[tik]]))),RIGHT(Дума_партии[[#This Row],[tik]]),"")</f>
        <v>Влас.</v>
      </c>
      <c r="I7">
        <v>1954</v>
      </c>
      <c r="J7" s="8">
        <f>Дума_партии[[#This Row],[Число избирателей, внесенных в список избирателей на момент окончания голосования]]</f>
        <v>1954</v>
      </c>
      <c r="K7">
        <v>1900</v>
      </c>
      <c r="L7">
        <v>0</v>
      </c>
      <c r="M7">
        <v>925</v>
      </c>
      <c r="N7">
        <v>103</v>
      </c>
      <c r="O7" s="3">
        <f t="shared" si="1"/>
        <v>52.610030706243606</v>
      </c>
      <c r="P7" s="3">
        <f t="shared" si="2"/>
        <v>5.2712384851586487</v>
      </c>
      <c r="Q7">
        <v>872</v>
      </c>
      <c r="R7">
        <v>103</v>
      </c>
      <c r="S7">
        <v>918</v>
      </c>
      <c r="T7" s="1">
        <f t="shared" si="3"/>
        <v>1021</v>
      </c>
      <c r="U7" s="3">
        <f t="shared" si="4"/>
        <v>10.088148873653282</v>
      </c>
      <c r="V7">
        <v>15</v>
      </c>
      <c r="W7" s="3">
        <f t="shared" si="5"/>
        <v>1.4691478942213516</v>
      </c>
      <c r="X7">
        <v>1006</v>
      </c>
      <c r="Y7">
        <v>0</v>
      </c>
      <c r="Z7">
        <v>0</v>
      </c>
      <c r="AA7">
        <v>199</v>
      </c>
      <c r="AB7" s="3">
        <f t="shared" si="6"/>
        <v>19.490695396669931</v>
      </c>
      <c r="AC7">
        <v>10</v>
      </c>
      <c r="AD7" s="3">
        <f t="shared" si="7"/>
        <v>0.97943192948090108</v>
      </c>
      <c r="AE7">
        <v>68</v>
      </c>
      <c r="AF7" s="3">
        <f t="shared" si="8"/>
        <v>6.660137120470127</v>
      </c>
      <c r="AG7">
        <v>55</v>
      </c>
      <c r="AH7" s="3">
        <f t="shared" si="9"/>
        <v>5.3868756121449559</v>
      </c>
      <c r="AI7">
        <v>501</v>
      </c>
      <c r="AJ7" s="3">
        <f t="shared" si="10"/>
        <v>49.069539666993144</v>
      </c>
      <c r="AK7">
        <v>65</v>
      </c>
      <c r="AL7" s="3">
        <f t="shared" si="11"/>
        <v>6.366307541625857</v>
      </c>
      <c r="AM7">
        <v>14</v>
      </c>
      <c r="AN7" s="3">
        <f t="shared" si="12"/>
        <v>1.3712047012732616</v>
      </c>
      <c r="AO7">
        <v>7</v>
      </c>
      <c r="AP7" s="3">
        <f t="shared" si="13"/>
        <v>0.68560235063663078</v>
      </c>
      <c r="AQ7">
        <v>7</v>
      </c>
      <c r="AR7" s="3">
        <f t="shared" si="14"/>
        <v>0.68560235063663078</v>
      </c>
      <c r="AS7">
        <v>18</v>
      </c>
      <c r="AT7" s="3">
        <f t="shared" si="15"/>
        <v>1.762977473065622</v>
      </c>
      <c r="AU7">
        <v>2</v>
      </c>
      <c r="AV7" s="3">
        <f t="shared" si="16"/>
        <v>0.19588638589618021</v>
      </c>
      <c r="AW7">
        <v>12</v>
      </c>
      <c r="AX7" s="3">
        <f t="shared" si="17"/>
        <v>1.1753183153770812</v>
      </c>
      <c r="AY7">
        <v>13</v>
      </c>
      <c r="AZ7" s="3">
        <f t="shared" si="18"/>
        <v>1.2732615083251715</v>
      </c>
      <c r="BA7">
        <v>35</v>
      </c>
      <c r="BB7" s="3">
        <f t="shared" si="19"/>
        <v>3.4280117531831538</v>
      </c>
      <c r="BC7" t="s">
        <v>313</v>
      </c>
      <c r="BD7" t="s">
        <v>455</v>
      </c>
      <c r="BE7" s="1"/>
      <c r="BF7"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299.70629370629376</v>
      </c>
      <c r="BG7" s="10">
        <f>2*(Дума_партии[[#This Row],[5. Всероссийская политическая партия "ЕДИНАЯ РОССИЯ"]]-(AB$203/100)*Дума_партии[[#This Row],[Число действительных избирательных бюллетеней]])</f>
        <v>428.58000000000004</v>
      </c>
      <c r="BH7" s="10">
        <f>(Дума_партии[[#This Row],[Вброс]]+Дума_партии[[#This Row],[Перекладывание]])/2</f>
        <v>364.1431468531469</v>
      </c>
    </row>
    <row r="8" spans="1:60" x14ac:dyDescent="0.4">
      <c r="A8" t="s">
        <v>49</v>
      </c>
      <c r="B8" t="s">
        <v>50</v>
      </c>
      <c r="C8" t="s">
        <v>51</v>
      </c>
      <c r="D8" t="s">
        <v>128</v>
      </c>
      <c r="E8" t="s">
        <v>135</v>
      </c>
      <c r="F8" s="8">
        <f t="shared" ca="1" si="0"/>
        <v>218</v>
      </c>
      <c r="G8" t="s">
        <v>312</v>
      </c>
      <c r="H8" t="str">
        <f>LEFT(Дума_партии[[#This Row],[tik]],4)&amp;"."&amp;IF(ISNUMBER(VALUE(RIGHT(Дума_партии[[#This Row],[tik]]))),RIGHT(Дума_партии[[#This Row],[tik]]),"")</f>
        <v>Влас.</v>
      </c>
      <c r="I8">
        <v>1973</v>
      </c>
      <c r="J8" s="8">
        <f>Дума_партии[[#This Row],[Число избирателей, внесенных в список избирателей на момент окончания голосования]]</f>
        <v>1973</v>
      </c>
      <c r="K8">
        <v>1900</v>
      </c>
      <c r="L8">
        <v>0</v>
      </c>
      <c r="M8">
        <v>1086</v>
      </c>
      <c r="N8">
        <v>143</v>
      </c>
      <c r="O8" s="3">
        <f t="shared" si="1"/>
        <v>62.290927521540802</v>
      </c>
      <c r="P8" s="3">
        <f t="shared" si="2"/>
        <v>7.2478459199189054</v>
      </c>
      <c r="Q8">
        <v>671</v>
      </c>
      <c r="R8">
        <v>143</v>
      </c>
      <c r="S8">
        <v>943</v>
      </c>
      <c r="T8" s="1">
        <f t="shared" si="3"/>
        <v>1086</v>
      </c>
      <c r="U8" s="3">
        <f t="shared" si="4"/>
        <v>13.167587476979742</v>
      </c>
      <c r="V8">
        <v>20</v>
      </c>
      <c r="W8" s="3">
        <f t="shared" si="5"/>
        <v>1.8416206261510129</v>
      </c>
      <c r="X8">
        <v>1066</v>
      </c>
      <c r="Y8">
        <v>0</v>
      </c>
      <c r="Z8">
        <v>0</v>
      </c>
      <c r="AA8">
        <v>141</v>
      </c>
      <c r="AB8" s="3">
        <f t="shared" si="6"/>
        <v>12.983425414364641</v>
      </c>
      <c r="AC8">
        <v>17</v>
      </c>
      <c r="AD8" s="3">
        <f t="shared" si="7"/>
        <v>1.565377532228361</v>
      </c>
      <c r="AE8">
        <v>117</v>
      </c>
      <c r="AF8" s="3">
        <f t="shared" si="8"/>
        <v>10.773480662983426</v>
      </c>
      <c r="AG8">
        <v>98</v>
      </c>
      <c r="AH8" s="3">
        <f t="shared" si="9"/>
        <v>9.0239410681399637</v>
      </c>
      <c r="AI8">
        <v>526</v>
      </c>
      <c r="AJ8" s="3">
        <f t="shared" si="10"/>
        <v>48.434622467771639</v>
      </c>
      <c r="AK8">
        <v>59</v>
      </c>
      <c r="AL8" s="3">
        <f t="shared" si="11"/>
        <v>5.4327808471454881</v>
      </c>
      <c r="AM8">
        <v>21</v>
      </c>
      <c r="AN8" s="3">
        <f t="shared" si="12"/>
        <v>1.9337016574585635</v>
      </c>
      <c r="AO8">
        <v>4</v>
      </c>
      <c r="AP8" s="3">
        <f t="shared" si="13"/>
        <v>0.36832412523020258</v>
      </c>
      <c r="AQ8">
        <v>6</v>
      </c>
      <c r="AR8" s="3">
        <f t="shared" si="14"/>
        <v>0.5524861878453039</v>
      </c>
      <c r="AS8">
        <v>18</v>
      </c>
      <c r="AT8" s="3">
        <f t="shared" si="15"/>
        <v>1.6574585635359116</v>
      </c>
      <c r="AU8">
        <v>2</v>
      </c>
      <c r="AV8" s="3">
        <f t="shared" si="16"/>
        <v>0.18416206261510129</v>
      </c>
      <c r="AW8">
        <v>22</v>
      </c>
      <c r="AX8" s="3">
        <f t="shared" si="17"/>
        <v>2.0257826887661143</v>
      </c>
      <c r="AY8">
        <v>10</v>
      </c>
      <c r="AZ8" s="3">
        <f t="shared" si="18"/>
        <v>0.92081031307550643</v>
      </c>
      <c r="BA8">
        <v>25</v>
      </c>
      <c r="BB8" s="3">
        <f t="shared" si="19"/>
        <v>2.3020257826887662</v>
      </c>
      <c r="BC8" t="s">
        <v>313</v>
      </c>
      <c r="BD8" t="s">
        <v>455</v>
      </c>
      <c r="BE8" s="1"/>
      <c r="BF8"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310.7552447552448</v>
      </c>
      <c r="BG8" s="10">
        <f>2*(Дума_партии[[#This Row],[5. Всероссийская политическая партия "ЕДИНАЯ РОССИЯ"]]-(AB$203/100)*Дума_партии[[#This Row],[Число действительных избирательных бюллетеней]])</f>
        <v>444.38</v>
      </c>
      <c r="BH8" s="10">
        <f>(Дума_партии[[#This Row],[Вброс]]+Дума_партии[[#This Row],[Перекладывание]])/2</f>
        <v>377.5676223776224</v>
      </c>
    </row>
    <row r="9" spans="1:60" x14ac:dyDescent="0.4">
      <c r="A9" t="s">
        <v>49</v>
      </c>
      <c r="B9" t="s">
        <v>50</v>
      </c>
      <c r="C9" t="s">
        <v>51</v>
      </c>
      <c r="D9" t="s">
        <v>128</v>
      </c>
      <c r="E9" t="s">
        <v>136</v>
      </c>
      <c r="F9" s="8">
        <f t="shared" ca="1" si="0"/>
        <v>219</v>
      </c>
      <c r="G9" t="s">
        <v>312</v>
      </c>
      <c r="H9" t="str">
        <f>LEFT(Дума_партии[[#This Row],[tik]],4)&amp;"."&amp;IF(ISNUMBER(VALUE(RIGHT(Дума_партии[[#This Row],[tik]]))),RIGHT(Дума_партии[[#This Row],[tik]]),"")</f>
        <v>Влас.</v>
      </c>
      <c r="I9">
        <v>1804</v>
      </c>
      <c r="J9" s="8">
        <f>Дума_партии[[#This Row],[Число избирателей, внесенных в список избирателей на момент окончания голосования]]</f>
        <v>1804</v>
      </c>
      <c r="K9">
        <v>1700</v>
      </c>
      <c r="L9">
        <v>0</v>
      </c>
      <c r="M9">
        <v>1236</v>
      </c>
      <c r="N9">
        <v>53</v>
      </c>
      <c r="O9" s="3">
        <f t="shared" si="1"/>
        <v>71.452328159645234</v>
      </c>
      <c r="P9" s="3">
        <f t="shared" si="2"/>
        <v>2.9379157427937916</v>
      </c>
      <c r="Q9">
        <v>395</v>
      </c>
      <c r="R9">
        <v>53</v>
      </c>
      <c r="S9">
        <v>1226</v>
      </c>
      <c r="T9" s="1">
        <f t="shared" si="3"/>
        <v>1279</v>
      </c>
      <c r="U9" s="3">
        <f t="shared" si="4"/>
        <v>4.1438623924941362</v>
      </c>
      <c r="V9">
        <v>19</v>
      </c>
      <c r="W9" s="3">
        <f t="shared" si="5"/>
        <v>1.4855355746677092</v>
      </c>
      <c r="X9">
        <v>1260</v>
      </c>
      <c r="Y9">
        <v>16</v>
      </c>
      <c r="Z9">
        <v>0</v>
      </c>
      <c r="AA9">
        <v>202</v>
      </c>
      <c r="AB9" s="3">
        <f t="shared" si="6"/>
        <v>15.793588741204065</v>
      </c>
      <c r="AC9">
        <v>15</v>
      </c>
      <c r="AD9" s="3">
        <f t="shared" si="7"/>
        <v>1.1727912431587177</v>
      </c>
      <c r="AE9">
        <v>50</v>
      </c>
      <c r="AF9" s="3">
        <f t="shared" si="8"/>
        <v>3.9093041438623923</v>
      </c>
      <c r="AG9">
        <v>51</v>
      </c>
      <c r="AH9" s="3">
        <f t="shared" si="9"/>
        <v>3.9874902267396402</v>
      </c>
      <c r="AI9">
        <v>750</v>
      </c>
      <c r="AJ9" s="3">
        <f t="shared" si="10"/>
        <v>58.639562157935885</v>
      </c>
      <c r="AK9">
        <v>78</v>
      </c>
      <c r="AL9" s="3">
        <f t="shared" si="11"/>
        <v>6.0985144644253326</v>
      </c>
      <c r="AM9">
        <v>13</v>
      </c>
      <c r="AN9" s="3">
        <f t="shared" si="12"/>
        <v>1.0164190774042221</v>
      </c>
      <c r="AO9">
        <v>6</v>
      </c>
      <c r="AP9" s="3">
        <f t="shared" si="13"/>
        <v>0.46911649726348709</v>
      </c>
      <c r="AQ9">
        <v>14</v>
      </c>
      <c r="AR9" s="3">
        <f t="shared" si="14"/>
        <v>1.0946051602814699</v>
      </c>
      <c r="AS9">
        <v>23</v>
      </c>
      <c r="AT9" s="3">
        <f t="shared" si="15"/>
        <v>1.7982799061767005</v>
      </c>
      <c r="AU9">
        <v>1</v>
      </c>
      <c r="AV9" s="3">
        <f t="shared" si="16"/>
        <v>7.8186082877247848E-2</v>
      </c>
      <c r="AW9">
        <v>12</v>
      </c>
      <c r="AX9" s="3">
        <f t="shared" si="17"/>
        <v>0.93823299452697417</v>
      </c>
      <c r="AY9">
        <v>16</v>
      </c>
      <c r="AZ9" s="3">
        <f t="shared" si="18"/>
        <v>1.2509773260359656</v>
      </c>
      <c r="BA9">
        <v>29</v>
      </c>
      <c r="BB9" s="3">
        <f t="shared" si="19"/>
        <v>2.2673964034401877</v>
      </c>
      <c r="BC9" t="s">
        <v>313</v>
      </c>
      <c r="BD9" t="s">
        <v>455</v>
      </c>
      <c r="BE9" s="1"/>
      <c r="BF9"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546.71328671328672</v>
      </c>
      <c r="BG9" s="10">
        <f>2*(Дума_партии[[#This Row],[5. Всероссийская политическая партия "ЕДИНАЯ РОССИЯ"]]-(AB$203/100)*Дума_партии[[#This Row],[Число действительных избирательных бюллетеней]])</f>
        <v>781.80000000000007</v>
      </c>
      <c r="BH9" s="10">
        <f>(Дума_партии[[#This Row],[Вброс]]+Дума_партии[[#This Row],[Перекладывание]])/2</f>
        <v>664.25664335664339</v>
      </c>
    </row>
    <row r="10" spans="1:60" x14ac:dyDescent="0.4">
      <c r="A10" t="s">
        <v>49</v>
      </c>
      <c r="B10" t="s">
        <v>50</v>
      </c>
      <c r="C10" t="s">
        <v>51</v>
      </c>
      <c r="D10" t="s">
        <v>128</v>
      </c>
      <c r="E10" t="s">
        <v>137</v>
      </c>
      <c r="F10" s="8">
        <f t="shared" ca="1" si="0"/>
        <v>220</v>
      </c>
      <c r="G10" t="s">
        <v>312</v>
      </c>
      <c r="H10" t="str">
        <f>LEFT(Дума_партии[[#This Row],[tik]],4)&amp;"."&amp;IF(ISNUMBER(VALUE(RIGHT(Дума_партии[[#This Row],[tik]]))),RIGHT(Дума_партии[[#This Row],[tik]]),"")</f>
        <v>Влас.</v>
      </c>
      <c r="I10">
        <v>2012</v>
      </c>
      <c r="J10" s="8">
        <f>Дума_партии[[#This Row],[Число избирателей, внесенных в список избирателей на момент окончания голосования]]</f>
        <v>2012</v>
      </c>
      <c r="K10">
        <v>2100</v>
      </c>
      <c r="L10">
        <v>0</v>
      </c>
      <c r="M10">
        <v>1344</v>
      </c>
      <c r="N10">
        <v>139</v>
      </c>
      <c r="O10" s="3">
        <f t="shared" si="1"/>
        <v>73.707753479125245</v>
      </c>
      <c r="P10" s="3">
        <f t="shared" si="2"/>
        <v>6.9085487077534795</v>
      </c>
      <c r="Q10">
        <v>617</v>
      </c>
      <c r="R10">
        <v>139</v>
      </c>
      <c r="S10">
        <v>1344</v>
      </c>
      <c r="T10" s="1">
        <f t="shared" si="3"/>
        <v>1483</v>
      </c>
      <c r="U10" s="3">
        <f t="shared" si="4"/>
        <v>9.3728927848954822</v>
      </c>
      <c r="V10">
        <v>26</v>
      </c>
      <c r="W10" s="3">
        <f t="shared" si="5"/>
        <v>1.7532029669588671</v>
      </c>
      <c r="X10">
        <v>1457</v>
      </c>
      <c r="Y10">
        <v>0</v>
      </c>
      <c r="Z10">
        <v>0</v>
      </c>
      <c r="AA10">
        <v>233</v>
      </c>
      <c r="AB10" s="3">
        <f t="shared" si="6"/>
        <v>15.711395819285233</v>
      </c>
      <c r="AC10">
        <v>20</v>
      </c>
      <c r="AD10" s="3">
        <f t="shared" si="7"/>
        <v>1.3486176668914363</v>
      </c>
      <c r="AE10">
        <v>67</v>
      </c>
      <c r="AF10" s="3">
        <f t="shared" si="8"/>
        <v>4.5178691840863117</v>
      </c>
      <c r="AG10">
        <v>84</v>
      </c>
      <c r="AH10" s="3">
        <f t="shared" si="9"/>
        <v>5.6641942009440323</v>
      </c>
      <c r="AI10">
        <v>868</v>
      </c>
      <c r="AJ10" s="3">
        <f t="shared" si="10"/>
        <v>58.530006743088336</v>
      </c>
      <c r="AK10">
        <v>78</v>
      </c>
      <c r="AL10" s="3">
        <f t="shared" si="11"/>
        <v>5.2596089008766018</v>
      </c>
      <c r="AM10">
        <v>23</v>
      </c>
      <c r="AN10" s="3">
        <f t="shared" si="12"/>
        <v>1.5509103169251517</v>
      </c>
      <c r="AO10">
        <v>11</v>
      </c>
      <c r="AP10" s="3">
        <f t="shared" si="13"/>
        <v>0.74173971679028994</v>
      </c>
      <c r="AQ10">
        <v>2</v>
      </c>
      <c r="AR10" s="3">
        <f t="shared" si="14"/>
        <v>0.13486176668914363</v>
      </c>
      <c r="AS10">
        <v>14</v>
      </c>
      <c r="AT10" s="3">
        <f t="shared" si="15"/>
        <v>0.94403236682400538</v>
      </c>
      <c r="AU10">
        <v>2</v>
      </c>
      <c r="AV10" s="3">
        <f t="shared" si="16"/>
        <v>0.13486176668914363</v>
      </c>
      <c r="AW10">
        <v>13</v>
      </c>
      <c r="AX10" s="3">
        <f t="shared" si="17"/>
        <v>0.87660148347943356</v>
      </c>
      <c r="AY10">
        <v>12</v>
      </c>
      <c r="AZ10" s="3">
        <f t="shared" si="18"/>
        <v>0.80917060013486175</v>
      </c>
      <c r="BA10">
        <v>30</v>
      </c>
      <c r="BB10" s="3">
        <f t="shared" si="19"/>
        <v>2.0229265003371544</v>
      </c>
      <c r="BC10" t="s">
        <v>313</v>
      </c>
      <c r="BD10" t="s">
        <v>455</v>
      </c>
      <c r="BE10" s="1"/>
      <c r="BF10"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633.22377622377621</v>
      </c>
      <c r="BG10" s="10">
        <f>2*(Дума_партии[[#This Row],[5. Всероссийская политическая партия "ЕДИНАЯ РОССИЯ"]]-(AB$203/100)*Дума_партии[[#This Row],[Число действительных избирательных бюллетеней]])</f>
        <v>905.5100000000001</v>
      </c>
      <c r="BH10" s="10">
        <f>(Дума_партии[[#This Row],[Вброс]]+Дума_партии[[#This Row],[Перекладывание]])/2</f>
        <v>769.3668881118881</v>
      </c>
    </row>
    <row r="11" spans="1:60" x14ac:dyDescent="0.4">
      <c r="A11" t="s">
        <v>49</v>
      </c>
      <c r="B11" t="s">
        <v>50</v>
      </c>
      <c r="C11" t="s">
        <v>51</v>
      </c>
      <c r="D11" t="s">
        <v>138</v>
      </c>
      <c r="E11" t="s">
        <v>139</v>
      </c>
      <c r="F11" s="8">
        <f t="shared" ca="1" si="0"/>
        <v>693</v>
      </c>
      <c r="G11" t="s">
        <v>317</v>
      </c>
      <c r="H11" s="1" t="str">
        <f>LEFT(Дума_партии[[#This Row],[tik]],4)&amp;"."&amp;IF(ISNUMBER(VALUE(RIGHT(Дума_партии[[#This Row],[tik]]))),RIGHT(Дума_партии[[#This Row],[tik]]),"")</f>
        <v>Один.</v>
      </c>
      <c r="I11">
        <v>2353</v>
      </c>
      <c r="J11" s="8">
        <f>Дума_партии[[#This Row],[Число избирателей, внесенных в список избирателей на момент окончания голосования]]</f>
        <v>2353</v>
      </c>
      <c r="K11">
        <v>2000</v>
      </c>
      <c r="L11">
        <v>0</v>
      </c>
      <c r="M11">
        <v>724</v>
      </c>
      <c r="N11">
        <v>182</v>
      </c>
      <c r="O11" s="3">
        <f t="shared" si="1"/>
        <v>38.504037399065027</v>
      </c>
      <c r="P11" s="3">
        <f t="shared" si="2"/>
        <v>7.7348066298342539</v>
      </c>
      <c r="Q11">
        <v>1094</v>
      </c>
      <c r="R11">
        <v>173</v>
      </c>
      <c r="S11">
        <v>724</v>
      </c>
      <c r="T11" s="1">
        <f t="shared" si="3"/>
        <v>897</v>
      </c>
      <c r="U11" s="3">
        <f t="shared" si="4"/>
        <v>19.286510590858416</v>
      </c>
      <c r="V11">
        <v>40</v>
      </c>
      <c r="W11" s="3">
        <f t="shared" si="5"/>
        <v>4.4593088071348941</v>
      </c>
      <c r="X11">
        <v>857</v>
      </c>
      <c r="Y11">
        <v>0</v>
      </c>
      <c r="Z11">
        <v>0</v>
      </c>
      <c r="AA11">
        <v>198</v>
      </c>
      <c r="AB11" s="3">
        <f t="shared" si="6"/>
        <v>22.073578595317727</v>
      </c>
      <c r="AC11">
        <v>9</v>
      </c>
      <c r="AD11" s="3">
        <f t="shared" si="7"/>
        <v>1.0033444816053512</v>
      </c>
      <c r="AE11">
        <v>66</v>
      </c>
      <c r="AF11" s="3">
        <f t="shared" si="8"/>
        <v>7.3578595317725757</v>
      </c>
      <c r="AG11">
        <v>45</v>
      </c>
      <c r="AH11" s="3">
        <f t="shared" si="9"/>
        <v>5.0167224080267561</v>
      </c>
      <c r="AI11">
        <v>318</v>
      </c>
      <c r="AJ11" s="3">
        <f t="shared" si="10"/>
        <v>35.451505016722408</v>
      </c>
      <c r="AK11">
        <v>80</v>
      </c>
      <c r="AL11" s="3">
        <f t="shared" si="11"/>
        <v>8.9186176142697882</v>
      </c>
      <c r="AM11">
        <v>18</v>
      </c>
      <c r="AN11" s="3">
        <f t="shared" si="12"/>
        <v>2.0066889632107023</v>
      </c>
      <c r="AO11">
        <v>6</v>
      </c>
      <c r="AP11" s="3">
        <f t="shared" si="13"/>
        <v>0.66889632107023411</v>
      </c>
      <c r="AQ11">
        <v>13</v>
      </c>
      <c r="AR11" s="3">
        <f t="shared" si="14"/>
        <v>1.4492753623188406</v>
      </c>
      <c r="AS11">
        <v>35</v>
      </c>
      <c r="AT11" s="3">
        <f t="shared" si="15"/>
        <v>3.9018952062430325</v>
      </c>
      <c r="AU11">
        <v>1</v>
      </c>
      <c r="AV11" s="3">
        <f t="shared" si="16"/>
        <v>0.11148272017837235</v>
      </c>
      <c r="AW11">
        <v>11</v>
      </c>
      <c r="AX11" s="3">
        <f t="shared" si="17"/>
        <v>1.2263099219620959</v>
      </c>
      <c r="AY11">
        <v>18</v>
      </c>
      <c r="AZ11" s="3">
        <f t="shared" si="18"/>
        <v>2.0066889632107023</v>
      </c>
      <c r="BA11">
        <v>39</v>
      </c>
      <c r="BB11" s="3">
        <f t="shared" si="19"/>
        <v>4.3478260869565215</v>
      </c>
      <c r="BC11" t="s">
        <v>314</v>
      </c>
      <c r="BD11" s="72">
        <v>2017</v>
      </c>
      <c r="BE11" s="1"/>
      <c r="BF11"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103.15384615384619</v>
      </c>
      <c r="BG11" s="10">
        <f>2*(Дума_партии[[#This Row],[5. Всероссийская политическая партия "ЕДИНАЯ РОССИЯ"]]-(AB$203/100)*Дума_партии[[#This Row],[Число действительных избирательных бюллетеней]])</f>
        <v>147.51000000000005</v>
      </c>
      <c r="BH11" s="10">
        <f>(Дума_партии[[#This Row],[Вброс]]+Дума_партии[[#This Row],[Перекладывание]])/2</f>
        <v>125.33192307692312</v>
      </c>
    </row>
    <row r="12" spans="1:60" x14ac:dyDescent="0.4">
      <c r="A12" t="s">
        <v>49</v>
      </c>
      <c r="B12" t="s">
        <v>50</v>
      </c>
      <c r="C12" t="s">
        <v>51</v>
      </c>
      <c r="D12" t="s">
        <v>138</v>
      </c>
      <c r="E12" t="s">
        <v>140</v>
      </c>
      <c r="F12" s="8">
        <f t="shared" ca="1" si="0"/>
        <v>694</v>
      </c>
      <c r="G12" t="s">
        <v>317</v>
      </c>
      <c r="H12" s="1" t="str">
        <f>LEFT(Дума_партии[[#This Row],[tik]],4)&amp;"."&amp;IF(ISNUMBER(VALUE(RIGHT(Дума_партии[[#This Row],[tik]]))),RIGHT(Дума_партии[[#This Row],[tik]]),"")</f>
        <v>Один.</v>
      </c>
      <c r="I12">
        <v>2271</v>
      </c>
      <c r="J12" s="8">
        <f>Дума_партии[[#This Row],[Число избирателей, внесенных в список избирателей на момент окончания голосования]]</f>
        <v>2271</v>
      </c>
      <c r="K12">
        <v>2000</v>
      </c>
      <c r="L12">
        <v>0</v>
      </c>
      <c r="M12">
        <v>580</v>
      </c>
      <c r="N12">
        <v>11</v>
      </c>
      <c r="O12" s="3">
        <f t="shared" si="1"/>
        <v>26.023778071334213</v>
      </c>
      <c r="P12" s="3">
        <f t="shared" si="2"/>
        <v>0.48436811977102601</v>
      </c>
      <c r="Q12">
        <v>1409</v>
      </c>
      <c r="R12">
        <v>11</v>
      </c>
      <c r="S12">
        <v>580</v>
      </c>
      <c r="T12" s="1">
        <f t="shared" si="3"/>
        <v>591</v>
      </c>
      <c r="U12" s="3">
        <f t="shared" si="4"/>
        <v>1.8612521150592216</v>
      </c>
      <c r="V12">
        <v>21</v>
      </c>
      <c r="W12" s="3">
        <f t="shared" si="5"/>
        <v>3.5532994923857868</v>
      </c>
      <c r="X12">
        <v>570</v>
      </c>
      <c r="Y12">
        <v>0</v>
      </c>
      <c r="Z12">
        <v>0</v>
      </c>
      <c r="AA12">
        <v>201</v>
      </c>
      <c r="AB12" s="3">
        <f t="shared" si="6"/>
        <v>34.01015228426396</v>
      </c>
      <c r="AC12">
        <v>15</v>
      </c>
      <c r="AD12" s="3">
        <f t="shared" si="7"/>
        <v>2.5380710659898478</v>
      </c>
      <c r="AE12">
        <v>42</v>
      </c>
      <c r="AF12" s="3">
        <f t="shared" si="8"/>
        <v>7.1065989847715736</v>
      </c>
      <c r="AG12">
        <v>35</v>
      </c>
      <c r="AH12" s="3">
        <f t="shared" si="9"/>
        <v>5.9221658206429781</v>
      </c>
      <c r="AI12">
        <v>144</v>
      </c>
      <c r="AJ12" s="3">
        <f t="shared" si="10"/>
        <v>24.365482233502537</v>
      </c>
      <c r="AK12">
        <v>51</v>
      </c>
      <c r="AL12" s="3">
        <f t="shared" si="11"/>
        <v>8.6294416243654819</v>
      </c>
      <c r="AM12">
        <v>14</v>
      </c>
      <c r="AN12" s="3">
        <f t="shared" si="12"/>
        <v>2.3688663282571913</v>
      </c>
      <c r="AO12">
        <v>2</v>
      </c>
      <c r="AP12" s="3">
        <f t="shared" si="13"/>
        <v>0.33840947546531303</v>
      </c>
      <c r="AQ12">
        <v>13</v>
      </c>
      <c r="AR12" s="3">
        <f t="shared" si="14"/>
        <v>2.1996615905245345</v>
      </c>
      <c r="AS12">
        <v>24</v>
      </c>
      <c r="AT12" s="3">
        <f t="shared" si="15"/>
        <v>4.0609137055837561</v>
      </c>
      <c r="AU12">
        <v>1</v>
      </c>
      <c r="AV12" s="3">
        <f t="shared" si="16"/>
        <v>0.16920473773265651</v>
      </c>
      <c r="AW12">
        <v>9</v>
      </c>
      <c r="AX12" s="3">
        <f t="shared" si="17"/>
        <v>1.5228426395939085</v>
      </c>
      <c r="AY12">
        <v>4</v>
      </c>
      <c r="AZ12" s="3">
        <f t="shared" si="18"/>
        <v>0.67681895093062605</v>
      </c>
      <c r="BA12">
        <v>15</v>
      </c>
      <c r="BB12" s="3">
        <f t="shared" si="19"/>
        <v>2.5380710659898478</v>
      </c>
      <c r="BC12" t="s">
        <v>314</v>
      </c>
      <c r="BD12" s="72">
        <v>2017</v>
      </c>
      <c r="BE12" s="1"/>
      <c r="BF12"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-25.804195804195786</v>
      </c>
      <c r="BG12" s="10">
        <f>2*(Дума_партии[[#This Row],[5. Всероссийская политическая партия "ЕДИНАЯ РОССИЯ"]]-(AB$203/100)*Дума_партии[[#This Row],[Число действительных избирательных бюллетеней]])</f>
        <v>-36.899999999999977</v>
      </c>
      <c r="BH12" s="10">
        <f>(Дума_партии[[#This Row],[Вброс]]+Дума_партии[[#This Row],[Перекладывание]])/2</f>
        <v>-31.352097902097881</v>
      </c>
    </row>
    <row r="13" spans="1:60" x14ac:dyDescent="0.4">
      <c r="A13" t="s">
        <v>49</v>
      </c>
      <c r="B13" t="s">
        <v>50</v>
      </c>
      <c r="C13" t="s">
        <v>51</v>
      </c>
      <c r="D13" t="s">
        <v>138</v>
      </c>
      <c r="E13" t="s">
        <v>141</v>
      </c>
      <c r="F13" s="8">
        <f t="shared" ca="1" si="0"/>
        <v>695</v>
      </c>
      <c r="G13" t="s">
        <v>317</v>
      </c>
      <c r="H13" s="1" t="str">
        <f>LEFT(Дума_партии[[#This Row],[tik]],4)&amp;"."&amp;IF(ISNUMBER(VALUE(RIGHT(Дума_партии[[#This Row],[tik]]))),RIGHT(Дума_партии[[#This Row],[tik]]),"")</f>
        <v>Один.</v>
      </c>
      <c r="I13">
        <v>882</v>
      </c>
      <c r="J13" s="8">
        <f>Дума_партии[[#This Row],[Число избирателей, внесенных в список избирателей на момент окончания голосования]]</f>
        <v>882</v>
      </c>
      <c r="K13">
        <v>700</v>
      </c>
      <c r="L13">
        <v>0</v>
      </c>
      <c r="M13">
        <v>526</v>
      </c>
      <c r="N13">
        <v>125</v>
      </c>
      <c r="O13" s="3">
        <f t="shared" si="1"/>
        <v>73.80952380952381</v>
      </c>
      <c r="P13" s="3">
        <f t="shared" si="2"/>
        <v>14.172335600907029</v>
      </c>
      <c r="Q13">
        <v>49</v>
      </c>
      <c r="R13">
        <v>125</v>
      </c>
      <c r="S13">
        <v>526</v>
      </c>
      <c r="T13" s="1">
        <f t="shared" si="3"/>
        <v>651</v>
      </c>
      <c r="U13" s="3">
        <f t="shared" si="4"/>
        <v>19.201228878648234</v>
      </c>
      <c r="V13">
        <v>10</v>
      </c>
      <c r="W13" s="3">
        <f t="shared" si="5"/>
        <v>1.5360983102918586</v>
      </c>
      <c r="X13">
        <v>641</v>
      </c>
      <c r="Y13">
        <v>0</v>
      </c>
      <c r="Z13">
        <v>0</v>
      </c>
      <c r="AA13">
        <v>134</v>
      </c>
      <c r="AB13" s="3">
        <f t="shared" si="6"/>
        <v>20.583717357910906</v>
      </c>
      <c r="AC13">
        <v>7</v>
      </c>
      <c r="AD13" s="3">
        <f t="shared" si="7"/>
        <v>1.075268817204301</v>
      </c>
      <c r="AE13">
        <v>22</v>
      </c>
      <c r="AF13" s="3">
        <f t="shared" si="8"/>
        <v>3.3794162826420893</v>
      </c>
      <c r="AG13">
        <v>17</v>
      </c>
      <c r="AH13" s="3">
        <f t="shared" si="9"/>
        <v>2.6113671274961598</v>
      </c>
      <c r="AI13">
        <v>411</v>
      </c>
      <c r="AJ13" s="3">
        <f t="shared" si="10"/>
        <v>63.133640552995395</v>
      </c>
      <c r="AK13">
        <v>24</v>
      </c>
      <c r="AL13" s="3">
        <f t="shared" si="11"/>
        <v>3.6866359447004609</v>
      </c>
      <c r="AM13">
        <v>6</v>
      </c>
      <c r="AN13" s="3">
        <f t="shared" si="12"/>
        <v>0.92165898617511521</v>
      </c>
      <c r="AO13">
        <v>2</v>
      </c>
      <c r="AP13" s="3">
        <f t="shared" si="13"/>
        <v>0.30721966205837176</v>
      </c>
      <c r="AQ13">
        <v>3</v>
      </c>
      <c r="AR13" s="3">
        <f t="shared" si="14"/>
        <v>0.46082949308755761</v>
      </c>
      <c r="AS13">
        <v>2</v>
      </c>
      <c r="AT13" s="3">
        <f t="shared" si="15"/>
        <v>0.30721966205837176</v>
      </c>
      <c r="AU13">
        <v>0</v>
      </c>
      <c r="AV13" s="3">
        <f t="shared" si="16"/>
        <v>0</v>
      </c>
      <c r="AW13">
        <v>1</v>
      </c>
      <c r="AX13" s="3">
        <f t="shared" si="17"/>
        <v>0.15360983102918588</v>
      </c>
      <c r="AY13">
        <v>1</v>
      </c>
      <c r="AZ13" s="3">
        <f t="shared" si="18"/>
        <v>0.15360983102918588</v>
      </c>
      <c r="BA13">
        <v>11</v>
      </c>
      <c r="BB13" s="3">
        <f t="shared" si="19"/>
        <v>1.6897081413210446</v>
      </c>
      <c r="BC13" t="s">
        <v>314</v>
      </c>
      <c r="BD13" t="s">
        <v>455</v>
      </c>
      <c r="BE13" s="1"/>
      <c r="BF13"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319.32167832167835</v>
      </c>
      <c r="BG13" s="10">
        <f>2*(Дума_партии[[#This Row],[5. Всероссийская политическая партия "ЕДИНАЯ РОССИЯ"]]-(AB$203/100)*Дума_партии[[#This Row],[Число действительных избирательных бюллетеней]])</f>
        <v>456.63000000000005</v>
      </c>
      <c r="BH13" s="10">
        <f>(Дума_партии[[#This Row],[Вброс]]+Дума_партии[[#This Row],[Перекладывание]])/2</f>
        <v>387.9758391608392</v>
      </c>
    </row>
    <row r="14" spans="1:60" x14ac:dyDescent="0.4">
      <c r="A14" t="s">
        <v>49</v>
      </c>
      <c r="B14" t="s">
        <v>50</v>
      </c>
      <c r="C14" t="s">
        <v>51</v>
      </c>
      <c r="D14" t="s">
        <v>138</v>
      </c>
      <c r="E14" t="s">
        <v>142</v>
      </c>
      <c r="F14" s="8">
        <f t="shared" ca="1" si="0"/>
        <v>696</v>
      </c>
      <c r="G14" t="s">
        <v>317</v>
      </c>
      <c r="H14" s="1" t="str">
        <f>LEFT(Дума_партии[[#This Row],[tik]],4)&amp;"."&amp;IF(ISNUMBER(VALUE(RIGHT(Дума_партии[[#This Row],[tik]]))),RIGHT(Дума_партии[[#This Row],[tik]]),"")</f>
        <v>Один.</v>
      </c>
      <c r="I14">
        <v>1099</v>
      </c>
      <c r="J14" s="8">
        <f>Дума_партии[[#This Row],[Число избирателей, внесенных в список избирателей на момент окончания голосования]]</f>
        <v>1099</v>
      </c>
      <c r="K14">
        <v>1000</v>
      </c>
      <c r="L14">
        <v>0</v>
      </c>
      <c r="M14">
        <v>326</v>
      </c>
      <c r="N14">
        <v>250</v>
      </c>
      <c r="O14" s="3">
        <f t="shared" si="1"/>
        <v>52.41128298453139</v>
      </c>
      <c r="P14" s="3">
        <f t="shared" si="2"/>
        <v>22.747952684258415</v>
      </c>
      <c r="Q14">
        <v>424</v>
      </c>
      <c r="R14">
        <v>250</v>
      </c>
      <c r="S14">
        <v>326</v>
      </c>
      <c r="T14" s="1">
        <f t="shared" si="3"/>
        <v>576</v>
      </c>
      <c r="U14" s="3">
        <f t="shared" si="4"/>
        <v>43.402777777777779</v>
      </c>
      <c r="V14">
        <v>10</v>
      </c>
      <c r="W14" s="3">
        <f t="shared" si="5"/>
        <v>1.7361111111111112</v>
      </c>
      <c r="X14">
        <v>566</v>
      </c>
      <c r="Y14">
        <v>0</v>
      </c>
      <c r="Z14">
        <v>0</v>
      </c>
      <c r="AA14">
        <v>150</v>
      </c>
      <c r="AB14" s="3">
        <f t="shared" si="6"/>
        <v>26.041666666666668</v>
      </c>
      <c r="AC14">
        <v>12</v>
      </c>
      <c r="AD14" s="3">
        <f t="shared" si="7"/>
        <v>2.0833333333333335</v>
      </c>
      <c r="AE14">
        <v>38</v>
      </c>
      <c r="AF14" s="3">
        <f t="shared" si="8"/>
        <v>6.5972222222222223</v>
      </c>
      <c r="AG14">
        <v>22</v>
      </c>
      <c r="AH14" s="3">
        <f t="shared" si="9"/>
        <v>3.8194444444444446</v>
      </c>
      <c r="AI14">
        <v>201</v>
      </c>
      <c r="AJ14" s="3">
        <f t="shared" si="10"/>
        <v>34.895833333333336</v>
      </c>
      <c r="AK14">
        <v>41</v>
      </c>
      <c r="AL14" s="3">
        <f t="shared" si="11"/>
        <v>7.1180555555555554</v>
      </c>
      <c r="AM14">
        <v>7</v>
      </c>
      <c r="AN14" s="3">
        <f t="shared" si="12"/>
        <v>1.2152777777777777</v>
      </c>
      <c r="AO14">
        <v>13</v>
      </c>
      <c r="AP14" s="3">
        <f t="shared" si="13"/>
        <v>2.2569444444444446</v>
      </c>
      <c r="AQ14">
        <v>16</v>
      </c>
      <c r="AR14" s="3">
        <f t="shared" si="14"/>
        <v>2.7777777777777777</v>
      </c>
      <c r="AS14">
        <v>23</v>
      </c>
      <c r="AT14" s="3">
        <f t="shared" si="15"/>
        <v>3.9930555555555554</v>
      </c>
      <c r="AU14">
        <v>4</v>
      </c>
      <c r="AV14" s="3">
        <f t="shared" si="16"/>
        <v>0.69444444444444442</v>
      </c>
      <c r="AW14">
        <v>6</v>
      </c>
      <c r="AX14" s="3">
        <f t="shared" si="17"/>
        <v>1.0416666666666667</v>
      </c>
      <c r="AY14">
        <v>4</v>
      </c>
      <c r="AZ14" s="3">
        <f t="shared" si="18"/>
        <v>0.69444444444444442</v>
      </c>
      <c r="BA14">
        <v>29</v>
      </c>
      <c r="BB14" s="3">
        <f t="shared" si="19"/>
        <v>5.0347222222222223</v>
      </c>
      <c r="BC14" t="s">
        <v>314</v>
      </c>
      <c r="BD14" s="72">
        <v>2017</v>
      </c>
      <c r="BE14" s="1"/>
      <c r="BF14"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55.510489510489521</v>
      </c>
      <c r="BG14" s="10">
        <f>2*(Дума_партии[[#This Row],[5. Всероссийская политическая партия "ЕДИНАЯ РОССИЯ"]]-(AB$203/100)*Дума_партии[[#This Row],[Число действительных избирательных бюллетеней]])</f>
        <v>79.380000000000052</v>
      </c>
      <c r="BH14" s="10">
        <f>(Дума_партии[[#This Row],[Вброс]]+Дума_партии[[#This Row],[Перекладывание]])/2</f>
        <v>67.445244755244786</v>
      </c>
    </row>
    <row r="15" spans="1:60" x14ac:dyDescent="0.4">
      <c r="A15" t="s">
        <v>49</v>
      </c>
      <c r="B15" t="s">
        <v>50</v>
      </c>
      <c r="C15" t="s">
        <v>51</v>
      </c>
      <c r="D15" t="s">
        <v>138</v>
      </c>
      <c r="E15" t="s">
        <v>143</v>
      </c>
      <c r="F15" s="8">
        <f t="shared" ca="1" si="0"/>
        <v>697</v>
      </c>
      <c r="G15" t="s">
        <v>317</v>
      </c>
      <c r="H15" s="1" t="str">
        <f>LEFT(Дума_партии[[#This Row],[tik]],4)&amp;"."&amp;IF(ISNUMBER(VALUE(RIGHT(Дума_партии[[#This Row],[tik]]))),RIGHT(Дума_партии[[#This Row],[tik]]),"")</f>
        <v>Один.</v>
      </c>
      <c r="I15">
        <v>2400</v>
      </c>
      <c r="J15" s="8">
        <f>Дума_партии[[#This Row],[Число избирателей, внесенных в список избирателей на момент окончания голосования]]</f>
        <v>2400</v>
      </c>
      <c r="K15">
        <v>2000</v>
      </c>
      <c r="L15">
        <v>0</v>
      </c>
      <c r="M15">
        <v>725</v>
      </c>
      <c r="N15">
        <v>116</v>
      </c>
      <c r="O15" s="3">
        <f t="shared" si="1"/>
        <v>35.041666666666664</v>
      </c>
      <c r="P15" s="3">
        <f t="shared" si="2"/>
        <v>4.833333333333333</v>
      </c>
      <c r="Q15">
        <v>1159</v>
      </c>
      <c r="R15">
        <v>116</v>
      </c>
      <c r="S15">
        <v>725</v>
      </c>
      <c r="T15" s="1">
        <f t="shared" si="3"/>
        <v>841</v>
      </c>
      <c r="U15" s="3">
        <f t="shared" si="4"/>
        <v>13.793103448275861</v>
      </c>
      <c r="V15">
        <v>20</v>
      </c>
      <c r="W15" s="3">
        <f t="shared" si="5"/>
        <v>2.3781212841854935</v>
      </c>
      <c r="X15">
        <v>821</v>
      </c>
      <c r="Y15">
        <v>0</v>
      </c>
      <c r="Z15">
        <v>0</v>
      </c>
      <c r="AA15">
        <v>198</v>
      </c>
      <c r="AB15" s="3">
        <f t="shared" si="6"/>
        <v>23.543400713436384</v>
      </c>
      <c r="AC15">
        <v>6</v>
      </c>
      <c r="AD15" s="3">
        <f t="shared" si="7"/>
        <v>0.71343638525564801</v>
      </c>
      <c r="AE15">
        <v>61</v>
      </c>
      <c r="AF15" s="3">
        <f t="shared" si="8"/>
        <v>7.2532699167657553</v>
      </c>
      <c r="AG15">
        <v>64</v>
      </c>
      <c r="AH15" s="3">
        <f t="shared" si="9"/>
        <v>7.6099881093935791</v>
      </c>
      <c r="AI15">
        <v>319</v>
      </c>
      <c r="AJ15" s="3">
        <f t="shared" si="10"/>
        <v>37.931034482758619</v>
      </c>
      <c r="AK15">
        <v>59</v>
      </c>
      <c r="AL15" s="3">
        <f t="shared" si="11"/>
        <v>7.0154577883472058</v>
      </c>
      <c r="AM15">
        <v>19</v>
      </c>
      <c r="AN15" s="3">
        <f t="shared" si="12"/>
        <v>2.2592152199762188</v>
      </c>
      <c r="AO15">
        <v>6</v>
      </c>
      <c r="AP15" s="3">
        <f t="shared" si="13"/>
        <v>0.71343638525564801</v>
      </c>
      <c r="AQ15">
        <v>13</v>
      </c>
      <c r="AR15" s="3">
        <f t="shared" si="14"/>
        <v>1.5457788347205708</v>
      </c>
      <c r="AS15">
        <v>31</v>
      </c>
      <c r="AT15" s="3">
        <f t="shared" si="15"/>
        <v>3.6860879904875148</v>
      </c>
      <c r="AU15">
        <v>5</v>
      </c>
      <c r="AV15" s="3">
        <f t="shared" si="16"/>
        <v>0.59453032104637338</v>
      </c>
      <c r="AW15">
        <v>8</v>
      </c>
      <c r="AX15" s="3">
        <f t="shared" si="17"/>
        <v>0.95124851367419738</v>
      </c>
      <c r="AY15">
        <v>7</v>
      </c>
      <c r="AZ15" s="3">
        <f t="shared" si="18"/>
        <v>0.83234244946492275</v>
      </c>
      <c r="BA15">
        <v>25</v>
      </c>
      <c r="BB15" s="3">
        <f t="shared" si="19"/>
        <v>2.9726516052318668</v>
      </c>
      <c r="BC15" t="s">
        <v>314</v>
      </c>
      <c r="BD15" s="72">
        <v>2017</v>
      </c>
      <c r="BE15" s="1"/>
      <c r="BF15"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118.90209790209792</v>
      </c>
      <c r="BG15" s="10">
        <f>2*(Дума_партии[[#This Row],[5. Всероссийская политическая партия "ЕДИНАЯ РОССИЯ"]]-(AB$203/100)*Дума_партии[[#This Row],[Число действительных избирательных бюллетеней]])</f>
        <v>170.03000000000003</v>
      </c>
      <c r="BH15" s="10">
        <f>(Дума_партии[[#This Row],[Вброс]]+Дума_партии[[#This Row],[Перекладывание]])/2</f>
        <v>144.46604895104898</v>
      </c>
    </row>
    <row r="16" spans="1:60" x14ac:dyDescent="0.4">
      <c r="A16" t="s">
        <v>49</v>
      </c>
      <c r="B16" t="s">
        <v>50</v>
      </c>
      <c r="C16" t="s">
        <v>51</v>
      </c>
      <c r="D16" t="s">
        <v>138</v>
      </c>
      <c r="E16" t="s">
        <v>144</v>
      </c>
      <c r="F16" s="8">
        <f t="shared" ca="1" si="0"/>
        <v>698</v>
      </c>
      <c r="G16" t="s">
        <v>317</v>
      </c>
      <c r="H16" s="1" t="str">
        <f>LEFT(Дума_партии[[#This Row],[tik]],4)&amp;"."&amp;IF(ISNUMBER(VALUE(RIGHT(Дума_партии[[#This Row],[tik]]))),RIGHT(Дума_партии[[#This Row],[tik]]),"")</f>
        <v>Один.</v>
      </c>
      <c r="I16">
        <v>1217</v>
      </c>
      <c r="J16" s="8">
        <f>Дума_партии[[#This Row],[Число избирателей, внесенных в список избирателей на момент окончания голосования]]</f>
        <v>1217</v>
      </c>
      <c r="K16">
        <v>1000</v>
      </c>
      <c r="L16">
        <v>0</v>
      </c>
      <c r="M16">
        <v>417</v>
      </c>
      <c r="N16">
        <v>173</v>
      </c>
      <c r="O16" s="3">
        <f t="shared" si="1"/>
        <v>48.479868529170091</v>
      </c>
      <c r="P16" s="3">
        <f t="shared" si="2"/>
        <v>14.215283483976993</v>
      </c>
      <c r="Q16">
        <v>410</v>
      </c>
      <c r="R16">
        <v>173</v>
      </c>
      <c r="S16">
        <v>417</v>
      </c>
      <c r="T16" s="1">
        <f t="shared" si="3"/>
        <v>590</v>
      </c>
      <c r="U16" s="3">
        <f t="shared" si="4"/>
        <v>29.322033898305083</v>
      </c>
      <c r="V16">
        <v>15</v>
      </c>
      <c r="W16" s="3">
        <f t="shared" si="5"/>
        <v>2.5423728813559321</v>
      </c>
      <c r="X16">
        <v>575</v>
      </c>
      <c r="Y16">
        <v>0</v>
      </c>
      <c r="Z16">
        <v>0</v>
      </c>
      <c r="AA16">
        <v>110</v>
      </c>
      <c r="AB16" s="3">
        <f t="shared" si="6"/>
        <v>18.64406779661017</v>
      </c>
      <c r="AC16">
        <v>7</v>
      </c>
      <c r="AD16" s="3">
        <f t="shared" si="7"/>
        <v>1.1864406779661016</v>
      </c>
      <c r="AE16">
        <v>28</v>
      </c>
      <c r="AF16" s="3">
        <f t="shared" si="8"/>
        <v>4.7457627118644066</v>
      </c>
      <c r="AG16">
        <v>39</v>
      </c>
      <c r="AH16" s="3">
        <f t="shared" si="9"/>
        <v>6.6101694915254239</v>
      </c>
      <c r="AI16">
        <v>254</v>
      </c>
      <c r="AJ16" s="3">
        <f t="shared" si="10"/>
        <v>43.050847457627121</v>
      </c>
      <c r="AK16">
        <v>49</v>
      </c>
      <c r="AL16" s="3">
        <f t="shared" si="11"/>
        <v>8.3050847457627111</v>
      </c>
      <c r="AM16">
        <v>15</v>
      </c>
      <c r="AN16" s="3">
        <f t="shared" si="12"/>
        <v>2.5423728813559321</v>
      </c>
      <c r="AO16">
        <v>35</v>
      </c>
      <c r="AP16" s="3">
        <f t="shared" si="13"/>
        <v>5.9322033898305087</v>
      </c>
      <c r="AQ16">
        <v>6</v>
      </c>
      <c r="AR16" s="3">
        <f t="shared" si="14"/>
        <v>1.0169491525423728</v>
      </c>
      <c r="AS16">
        <v>5</v>
      </c>
      <c r="AT16" s="3">
        <f t="shared" si="15"/>
        <v>0.84745762711864403</v>
      </c>
      <c r="AU16">
        <v>1</v>
      </c>
      <c r="AV16" s="3">
        <f t="shared" si="16"/>
        <v>0.16949152542372881</v>
      </c>
      <c r="AW16">
        <v>3</v>
      </c>
      <c r="AX16" s="3">
        <f t="shared" si="17"/>
        <v>0.50847457627118642</v>
      </c>
      <c r="AY16">
        <v>4</v>
      </c>
      <c r="AZ16" s="3">
        <f t="shared" si="18"/>
        <v>0.67796610169491522</v>
      </c>
      <c r="BA16">
        <v>19</v>
      </c>
      <c r="BB16" s="3">
        <f t="shared" si="19"/>
        <v>3.2203389830508473</v>
      </c>
      <c r="BC16" t="s">
        <v>314</v>
      </c>
      <c r="BD16" s="72">
        <v>2017</v>
      </c>
      <c r="BE16" s="1"/>
      <c r="BF16"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126.04895104895107</v>
      </c>
      <c r="BG16" s="10">
        <f>2*(Дума_партии[[#This Row],[5. Всероссийская политическая партия "ЕДИНАЯ РОССИЯ"]]-(AB$203/100)*Дума_партии[[#This Row],[Число действительных избирательных бюллетеней]])</f>
        <v>180.25</v>
      </c>
      <c r="BH16" s="10">
        <f>(Дума_партии[[#This Row],[Вброс]]+Дума_партии[[#This Row],[Перекладывание]])/2</f>
        <v>153.14947552447552</v>
      </c>
    </row>
    <row r="17" spans="1:60" x14ac:dyDescent="0.4">
      <c r="A17" t="s">
        <v>49</v>
      </c>
      <c r="B17" t="s">
        <v>50</v>
      </c>
      <c r="C17" t="s">
        <v>51</v>
      </c>
      <c r="D17" t="s">
        <v>138</v>
      </c>
      <c r="E17" t="s">
        <v>145</v>
      </c>
      <c r="F17" s="8">
        <f t="shared" ca="1" si="0"/>
        <v>699</v>
      </c>
      <c r="G17" t="s">
        <v>317</v>
      </c>
      <c r="H17" s="1" t="str">
        <f>LEFT(Дума_партии[[#This Row],[tik]],4)&amp;"."&amp;IF(ISNUMBER(VALUE(RIGHT(Дума_партии[[#This Row],[tik]]))),RIGHT(Дума_партии[[#This Row],[tik]]),"")</f>
        <v>Один.</v>
      </c>
      <c r="I17">
        <v>1969</v>
      </c>
      <c r="J17" s="8">
        <f>Дума_партии[[#This Row],[Число избирателей, внесенных в список избирателей на момент окончания голосования]]</f>
        <v>1969</v>
      </c>
      <c r="K17">
        <v>1500</v>
      </c>
      <c r="L17">
        <v>0</v>
      </c>
      <c r="M17">
        <v>578</v>
      </c>
      <c r="N17">
        <v>27</v>
      </c>
      <c r="O17" s="3">
        <f t="shared" si="1"/>
        <v>30.726256983240223</v>
      </c>
      <c r="P17" s="3">
        <f t="shared" si="2"/>
        <v>1.3712544438801422</v>
      </c>
      <c r="Q17">
        <v>895</v>
      </c>
      <c r="R17">
        <v>27</v>
      </c>
      <c r="S17">
        <v>578</v>
      </c>
      <c r="T17" s="1">
        <f t="shared" si="3"/>
        <v>605</v>
      </c>
      <c r="U17" s="3">
        <f t="shared" si="4"/>
        <v>4.4628099173553721</v>
      </c>
      <c r="V17">
        <v>17</v>
      </c>
      <c r="W17" s="3">
        <f t="shared" si="5"/>
        <v>2.8099173553719008</v>
      </c>
      <c r="X17">
        <v>588</v>
      </c>
      <c r="Y17">
        <v>0</v>
      </c>
      <c r="Z17">
        <v>0</v>
      </c>
      <c r="AA17">
        <v>174</v>
      </c>
      <c r="AB17" s="3">
        <f t="shared" si="6"/>
        <v>28.760330578512395</v>
      </c>
      <c r="AC17">
        <v>13</v>
      </c>
      <c r="AD17" s="3">
        <f t="shared" si="7"/>
        <v>2.1487603305785123</v>
      </c>
      <c r="AE17">
        <v>51</v>
      </c>
      <c r="AF17" s="3">
        <f t="shared" si="8"/>
        <v>8.4297520661157019</v>
      </c>
      <c r="AG17">
        <v>43</v>
      </c>
      <c r="AH17" s="3">
        <f t="shared" si="9"/>
        <v>7.1074380165289259</v>
      </c>
      <c r="AI17">
        <v>188</v>
      </c>
      <c r="AJ17" s="3">
        <f t="shared" si="10"/>
        <v>31.074380165289256</v>
      </c>
      <c r="AK17">
        <v>46</v>
      </c>
      <c r="AL17" s="3">
        <f t="shared" si="11"/>
        <v>7.6033057851239674</v>
      </c>
      <c r="AM17">
        <v>14</v>
      </c>
      <c r="AN17" s="3">
        <f t="shared" si="12"/>
        <v>2.3140495867768593</v>
      </c>
      <c r="AO17">
        <v>3</v>
      </c>
      <c r="AP17" s="3">
        <f t="shared" si="13"/>
        <v>0.49586776859504134</v>
      </c>
      <c r="AQ17">
        <v>12</v>
      </c>
      <c r="AR17" s="3">
        <f t="shared" si="14"/>
        <v>1.9834710743801653</v>
      </c>
      <c r="AS17">
        <v>9</v>
      </c>
      <c r="AT17" s="3">
        <f t="shared" si="15"/>
        <v>1.4876033057851239</v>
      </c>
      <c r="AU17">
        <v>1</v>
      </c>
      <c r="AV17" s="3">
        <f t="shared" si="16"/>
        <v>0.16528925619834711</v>
      </c>
      <c r="AW17">
        <v>6</v>
      </c>
      <c r="AX17" s="3">
        <f t="shared" si="17"/>
        <v>0.99173553719008267</v>
      </c>
      <c r="AY17">
        <v>5</v>
      </c>
      <c r="AZ17" s="3">
        <f t="shared" si="18"/>
        <v>0.82644628099173556</v>
      </c>
      <c r="BA17">
        <v>23</v>
      </c>
      <c r="BB17" s="3">
        <f t="shared" si="19"/>
        <v>3.8016528925619837</v>
      </c>
      <c r="BC17" t="s">
        <v>314</v>
      </c>
      <c r="BD17" s="72">
        <v>2017</v>
      </c>
      <c r="BE17" s="1">
        <v>1</v>
      </c>
      <c r="BF17"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28.559440559440588</v>
      </c>
      <c r="BG17" s="10">
        <f>2*(Дума_партии[[#This Row],[5. Всероссийская политическая партия "ЕДИНАЯ РОССИЯ"]]-(AB$203/100)*Дума_партии[[#This Row],[Число действительных избирательных бюллетеней]])</f>
        <v>40.840000000000032</v>
      </c>
      <c r="BH17" s="10">
        <f>(Дума_партии[[#This Row],[Вброс]]+Дума_партии[[#This Row],[Перекладывание]])/2</f>
        <v>34.69972027972031</v>
      </c>
    </row>
    <row r="18" spans="1:60" x14ac:dyDescent="0.4">
      <c r="A18" t="s">
        <v>49</v>
      </c>
      <c r="B18" t="s">
        <v>50</v>
      </c>
      <c r="C18" t="s">
        <v>51</v>
      </c>
      <c r="D18" t="s">
        <v>138</v>
      </c>
      <c r="E18" t="s">
        <v>146</v>
      </c>
      <c r="F18" s="8">
        <f t="shared" ca="1" si="0"/>
        <v>700</v>
      </c>
      <c r="G18" t="s">
        <v>317</v>
      </c>
      <c r="H18" s="1" t="str">
        <f>LEFT(Дума_партии[[#This Row],[tik]],4)&amp;"."&amp;IF(ISNUMBER(VALUE(RIGHT(Дума_партии[[#This Row],[tik]]))),RIGHT(Дума_партии[[#This Row],[tik]]),"")</f>
        <v>Один.</v>
      </c>
      <c r="I18">
        <v>422</v>
      </c>
      <c r="J18" s="8">
        <f>Дума_партии[[#This Row],[Число избирателей, внесенных в список избирателей на момент окончания голосования]]</f>
        <v>422</v>
      </c>
      <c r="K18">
        <v>300</v>
      </c>
      <c r="L18">
        <v>0</v>
      </c>
      <c r="M18">
        <v>160</v>
      </c>
      <c r="N18">
        <v>49</v>
      </c>
      <c r="O18" s="3">
        <f t="shared" si="1"/>
        <v>49.526066350710899</v>
      </c>
      <c r="P18" s="3">
        <f t="shared" si="2"/>
        <v>11.611374407582938</v>
      </c>
      <c r="Q18">
        <v>91</v>
      </c>
      <c r="R18">
        <v>49</v>
      </c>
      <c r="S18">
        <v>160</v>
      </c>
      <c r="T18" s="1">
        <f t="shared" si="3"/>
        <v>209</v>
      </c>
      <c r="U18" s="3">
        <f t="shared" si="4"/>
        <v>23.444976076555022</v>
      </c>
      <c r="V18">
        <v>0</v>
      </c>
      <c r="W18" s="3">
        <f t="shared" si="5"/>
        <v>0</v>
      </c>
      <c r="X18">
        <v>209</v>
      </c>
      <c r="Y18">
        <v>0</v>
      </c>
      <c r="Z18">
        <v>0</v>
      </c>
      <c r="AA18">
        <v>52</v>
      </c>
      <c r="AB18" s="3">
        <f t="shared" si="6"/>
        <v>24.880382775119617</v>
      </c>
      <c r="AC18">
        <v>2</v>
      </c>
      <c r="AD18" s="3">
        <f t="shared" si="7"/>
        <v>0.9569377990430622</v>
      </c>
      <c r="AE18">
        <v>29</v>
      </c>
      <c r="AF18" s="3">
        <f t="shared" si="8"/>
        <v>13.875598086124402</v>
      </c>
      <c r="AG18">
        <v>10</v>
      </c>
      <c r="AH18" s="3">
        <f t="shared" si="9"/>
        <v>4.7846889952153111</v>
      </c>
      <c r="AI18">
        <v>77</v>
      </c>
      <c r="AJ18" s="3">
        <f t="shared" si="10"/>
        <v>36.842105263157897</v>
      </c>
      <c r="AK18">
        <v>16</v>
      </c>
      <c r="AL18" s="3">
        <f t="shared" si="11"/>
        <v>7.6555023923444976</v>
      </c>
      <c r="AM18">
        <v>2</v>
      </c>
      <c r="AN18" s="3">
        <f t="shared" si="12"/>
        <v>0.9569377990430622</v>
      </c>
      <c r="AO18">
        <v>3</v>
      </c>
      <c r="AP18" s="3">
        <f t="shared" si="13"/>
        <v>1.4354066985645932</v>
      </c>
      <c r="AQ18">
        <v>3</v>
      </c>
      <c r="AR18" s="3">
        <f t="shared" si="14"/>
        <v>1.4354066985645932</v>
      </c>
      <c r="AS18">
        <v>2</v>
      </c>
      <c r="AT18" s="3">
        <f t="shared" si="15"/>
        <v>0.9569377990430622</v>
      </c>
      <c r="AU18">
        <v>2</v>
      </c>
      <c r="AV18" s="3">
        <f t="shared" si="16"/>
        <v>0.9569377990430622</v>
      </c>
      <c r="AW18">
        <v>3</v>
      </c>
      <c r="AX18" s="3">
        <f t="shared" si="17"/>
        <v>1.4354066985645932</v>
      </c>
      <c r="AY18">
        <v>4</v>
      </c>
      <c r="AZ18" s="3">
        <f t="shared" si="18"/>
        <v>1.9138755980861244</v>
      </c>
      <c r="BA18">
        <v>4</v>
      </c>
      <c r="BB18" s="3">
        <f t="shared" si="19"/>
        <v>1.9138755980861244</v>
      </c>
      <c r="BC18" t="s">
        <v>314</v>
      </c>
      <c r="BD18" s="72">
        <v>2017</v>
      </c>
      <c r="BE18" s="1"/>
      <c r="BF18"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24.384615384615394</v>
      </c>
      <c r="BG18" s="10">
        <f>2*(Дума_партии[[#This Row],[5. Всероссийская политическая партия "ЕДИНАЯ РОССИЯ"]]-(AB$203/100)*Дума_партии[[#This Row],[Число действительных избирательных бюллетеней]])</f>
        <v>34.870000000000005</v>
      </c>
      <c r="BH18" s="10">
        <f>(Дума_партии[[#This Row],[Вброс]]+Дума_партии[[#This Row],[Перекладывание]])/2</f>
        <v>29.627307692307699</v>
      </c>
    </row>
    <row r="19" spans="1:60" x14ac:dyDescent="0.4">
      <c r="A19" t="s">
        <v>49</v>
      </c>
      <c r="B19" t="s">
        <v>50</v>
      </c>
      <c r="C19" t="s">
        <v>51</v>
      </c>
      <c r="D19" t="s">
        <v>138</v>
      </c>
      <c r="E19" t="s">
        <v>147</v>
      </c>
      <c r="F19" s="8">
        <f t="shared" ca="1" si="0"/>
        <v>701</v>
      </c>
      <c r="G19" t="s">
        <v>317</v>
      </c>
      <c r="H19" s="1" t="str">
        <f>LEFT(Дума_партии[[#This Row],[tik]],4)&amp;"."&amp;IF(ISNUMBER(VALUE(RIGHT(Дума_партии[[#This Row],[tik]]))),RIGHT(Дума_партии[[#This Row],[tik]]),"")</f>
        <v>Один.</v>
      </c>
      <c r="I19">
        <v>1249</v>
      </c>
      <c r="J19" s="8">
        <f>Дума_партии[[#This Row],[Число избирателей, внесенных в список избирателей на момент окончания голосования]]</f>
        <v>1249</v>
      </c>
      <c r="K19">
        <v>1000</v>
      </c>
      <c r="L19">
        <v>0</v>
      </c>
      <c r="M19">
        <v>422</v>
      </c>
      <c r="N19">
        <v>6</v>
      </c>
      <c r="O19" s="3">
        <f t="shared" si="1"/>
        <v>34.267413931144915</v>
      </c>
      <c r="P19" s="3">
        <f t="shared" si="2"/>
        <v>0.48038430744595678</v>
      </c>
      <c r="Q19">
        <v>572</v>
      </c>
      <c r="R19">
        <v>6</v>
      </c>
      <c r="S19">
        <v>416</v>
      </c>
      <c r="T19" s="1">
        <f t="shared" si="3"/>
        <v>422</v>
      </c>
      <c r="U19" s="3">
        <f t="shared" si="4"/>
        <v>1.4218009478672986</v>
      </c>
      <c r="V19">
        <v>10</v>
      </c>
      <c r="W19" s="3">
        <f t="shared" si="5"/>
        <v>2.3696682464454977</v>
      </c>
      <c r="X19">
        <v>412</v>
      </c>
      <c r="Y19">
        <v>0</v>
      </c>
      <c r="Z19">
        <v>0</v>
      </c>
      <c r="AA19">
        <v>123</v>
      </c>
      <c r="AB19" s="3">
        <f t="shared" si="6"/>
        <v>29.14691943127962</v>
      </c>
      <c r="AC19">
        <v>6</v>
      </c>
      <c r="AD19" s="3">
        <f t="shared" si="7"/>
        <v>1.4218009478672986</v>
      </c>
      <c r="AE19">
        <v>35</v>
      </c>
      <c r="AF19" s="3">
        <f t="shared" si="8"/>
        <v>8.293838862559241</v>
      </c>
      <c r="AG19">
        <v>41</v>
      </c>
      <c r="AH19" s="3">
        <f t="shared" si="9"/>
        <v>9.7156398104265396</v>
      </c>
      <c r="AI19">
        <v>101</v>
      </c>
      <c r="AJ19" s="3">
        <f t="shared" si="10"/>
        <v>23.933649289099527</v>
      </c>
      <c r="AK19">
        <v>29</v>
      </c>
      <c r="AL19" s="3">
        <f t="shared" si="11"/>
        <v>6.8720379146919433</v>
      </c>
      <c r="AM19">
        <v>14</v>
      </c>
      <c r="AN19" s="3">
        <f t="shared" si="12"/>
        <v>3.3175355450236967</v>
      </c>
      <c r="AO19">
        <v>3</v>
      </c>
      <c r="AP19" s="3">
        <f t="shared" si="13"/>
        <v>0.7109004739336493</v>
      </c>
      <c r="AQ19">
        <v>16</v>
      </c>
      <c r="AR19" s="3">
        <f t="shared" si="14"/>
        <v>3.7914691943127963</v>
      </c>
      <c r="AS19">
        <v>10</v>
      </c>
      <c r="AT19" s="3">
        <f t="shared" si="15"/>
        <v>2.3696682464454977</v>
      </c>
      <c r="AU19">
        <v>0</v>
      </c>
      <c r="AV19" s="3">
        <f t="shared" si="16"/>
        <v>0</v>
      </c>
      <c r="AW19">
        <v>9</v>
      </c>
      <c r="AX19" s="3">
        <f t="shared" si="17"/>
        <v>2.1327014218009479</v>
      </c>
      <c r="AY19">
        <v>9</v>
      </c>
      <c r="AZ19" s="3">
        <f t="shared" si="18"/>
        <v>2.1327014218009479</v>
      </c>
      <c r="BA19">
        <v>16</v>
      </c>
      <c r="BB19" s="3">
        <f t="shared" si="19"/>
        <v>3.7914691943127963</v>
      </c>
      <c r="BC19" t="s">
        <v>314</v>
      </c>
      <c r="BD19" s="72">
        <v>2017</v>
      </c>
      <c r="BE19" s="1"/>
      <c r="BF19"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-22.965034965034945</v>
      </c>
      <c r="BG19" s="10">
        <f>2*(Дума_партии[[#This Row],[5. Всероссийская политическая партия "ЕДИНАЯ РОССИЯ"]]-(AB$203/100)*Дума_партии[[#This Row],[Число действительных избирательных бюллетеней]])</f>
        <v>-32.839999999999975</v>
      </c>
      <c r="BH19" s="10">
        <f>(Дума_партии[[#This Row],[Вброс]]+Дума_партии[[#This Row],[Перекладывание]])/2</f>
        <v>-27.90251748251746</v>
      </c>
    </row>
    <row r="20" spans="1:60" x14ac:dyDescent="0.4">
      <c r="A20" t="s">
        <v>49</v>
      </c>
      <c r="B20" t="s">
        <v>50</v>
      </c>
      <c r="C20" t="s">
        <v>51</v>
      </c>
      <c r="D20" t="s">
        <v>138</v>
      </c>
      <c r="E20" t="s">
        <v>148</v>
      </c>
      <c r="F20" s="8">
        <f t="shared" ca="1" si="0"/>
        <v>702</v>
      </c>
      <c r="G20" t="s">
        <v>317</v>
      </c>
      <c r="H20" s="1" t="str">
        <f>LEFT(Дума_партии[[#This Row],[tik]],4)&amp;"."&amp;IF(ISNUMBER(VALUE(RIGHT(Дума_партии[[#This Row],[tik]]))),RIGHT(Дума_партии[[#This Row],[tik]]),"")</f>
        <v>Один.</v>
      </c>
      <c r="I20">
        <v>1716</v>
      </c>
      <c r="J20" s="8">
        <f>Дума_партии[[#This Row],[Число избирателей, внесенных в список избирателей на момент окончания голосования]]</f>
        <v>1716</v>
      </c>
      <c r="K20">
        <v>1500</v>
      </c>
      <c r="L20">
        <v>0</v>
      </c>
      <c r="M20">
        <v>621</v>
      </c>
      <c r="N20">
        <v>216</v>
      </c>
      <c r="O20" s="3">
        <f t="shared" si="1"/>
        <v>48.776223776223773</v>
      </c>
      <c r="P20" s="3">
        <f t="shared" si="2"/>
        <v>12.587412587412587</v>
      </c>
      <c r="Q20">
        <v>663</v>
      </c>
      <c r="R20">
        <v>216</v>
      </c>
      <c r="S20">
        <v>621</v>
      </c>
      <c r="T20" s="1">
        <f t="shared" si="3"/>
        <v>837</v>
      </c>
      <c r="U20" s="3">
        <f t="shared" si="4"/>
        <v>25.806451612903224</v>
      </c>
      <c r="V20">
        <v>27</v>
      </c>
      <c r="W20" s="3">
        <f t="shared" si="5"/>
        <v>3.225806451612903</v>
      </c>
      <c r="X20">
        <v>810</v>
      </c>
      <c r="Y20">
        <v>0</v>
      </c>
      <c r="Z20">
        <v>0</v>
      </c>
      <c r="AA20">
        <v>199</v>
      </c>
      <c r="AB20" s="3">
        <f t="shared" si="6"/>
        <v>23.775388291517324</v>
      </c>
      <c r="AC20">
        <v>3</v>
      </c>
      <c r="AD20" s="3">
        <f t="shared" si="7"/>
        <v>0.35842293906810035</v>
      </c>
      <c r="AE20">
        <v>64</v>
      </c>
      <c r="AF20" s="3">
        <f t="shared" si="8"/>
        <v>7.6463560334528076</v>
      </c>
      <c r="AG20">
        <v>32</v>
      </c>
      <c r="AH20" s="3">
        <f t="shared" si="9"/>
        <v>3.8231780167264038</v>
      </c>
      <c r="AI20">
        <v>376</v>
      </c>
      <c r="AJ20" s="3">
        <f t="shared" si="10"/>
        <v>44.922341696535248</v>
      </c>
      <c r="AK20">
        <v>60</v>
      </c>
      <c r="AL20" s="3">
        <f t="shared" si="11"/>
        <v>7.1684587813620073</v>
      </c>
      <c r="AM20">
        <v>12</v>
      </c>
      <c r="AN20" s="3">
        <f t="shared" si="12"/>
        <v>1.4336917562724014</v>
      </c>
      <c r="AO20">
        <v>8</v>
      </c>
      <c r="AP20" s="3">
        <f t="shared" si="13"/>
        <v>0.95579450418160095</v>
      </c>
      <c r="AQ20">
        <v>8</v>
      </c>
      <c r="AR20" s="3">
        <f t="shared" si="14"/>
        <v>0.95579450418160095</v>
      </c>
      <c r="AS20">
        <v>19</v>
      </c>
      <c r="AT20" s="3">
        <f t="shared" si="15"/>
        <v>2.2700119474313021</v>
      </c>
      <c r="AU20">
        <v>0</v>
      </c>
      <c r="AV20" s="3">
        <f t="shared" si="16"/>
        <v>0</v>
      </c>
      <c r="AW20">
        <v>7</v>
      </c>
      <c r="AX20" s="3">
        <f t="shared" si="17"/>
        <v>0.83632019115890088</v>
      </c>
      <c r="AY20">
        <v>9</v>
      </c>
      <c r="AZ20" s="3">
        <f t="shared" si="18"/>
        <v>1.075268817204301</v>
      </c>
      <c r="BA20">
        <v>13</v>
      </c>
      <c r="BB20" s="3">
        <f t="shared" si="19"/>
        <v>1.5531660692951015</v>
      </c>
      <c r="BC20" t="s">
        <v>314</v>
      </c>
      <c r="BD20" s="72">
        <v>2017</v>
      </c>
      <c r="BE20" s="1"/>
      <c r="BF20"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203.00699300699304</v>
      </c>
      <c r="BG20" s="10">
        <f>2*(Дума_партии[[#This Row],[5. Всероссийская политическая партия "ЕДИНАЯ РОССИЯ"]]-(AB$203/100)*Дума_партии[[#This Row],[Число действительных избирательных бюллетеней]])</f>
        <v>290.3</v>
      </c>
      <c r="BH20" s="10">
        <f>(Дума_партии[[#This Row],[Вброс]]+Дума_партии[[#This Row],[Перекладывание]])/2</f>
        <v>246.65349650349651</v>
      </c>
    </row>
    <row r="21" spans="1:60" x14ac:dyDescent="0.4">
      <c r="A21" t="s">
        <v>49</v>
      </c>
      <c r="B21" t="s">
        <v>50</v>
      </c>
      <c r="C21" t="s">
        <v>51</v>
      </c>
      <c r="D21" t="s">
        <v>138</v>
      </c>
      <c r="E21" t="s">
        <v>149</v>
      </c>
      <c r="F21" s="8">
        <f t="shared" ca="1" si="0"/>
        <v>703</v>
      </c>
      <c r="G21" t="s">
        <v>317</v>
      </c>
      <c r="H21" s="1" t="str">
        <f>LEFT(Дума_партии[[#This Row],[tik]],4)&amp;"."&amp;IF(ISNUMBER(VALUE(RIGHT(Дума_партии[[#This Row],[tik]]))),RIGHT(Дума_партии[[#This Row],[tik]]),"")</f>
        <v>Один.</v>
      </c>
      <c r="I21">
        <v>2695</v>
      </c>
      <c r="J21" s="8">
        <f>Дума_партии[[#This Row],[Число избирателей, внесенных в список избирателей на момент окончания голосования]]</f>
        <v>2695</v>
      </c>
      <c r="K21">
        <v>2000</v>
      </c>
      <c r="L21">
        <v>0</v>
      </c>
      <c r="M21">
        <v>766</v>
      </c>
      <c r="N21">
        <v>229</v>
      </c>
      <c r="O21" s="3">
        <f t="shared" si="1"/>
        <v>36.920222634508349</v>
      </c>
      <c r="P21" s="3">
        <f t="shared" si="2"/>
        <v>8.4972170686456394</v>
      </c>
      <c r="Q21">
        <v>1005</v>
      </c>
      <c r="R21">
        <v>229</v>
      </c>
      <c r="S21">
        <v>763</v>
      </c>
      <c r="T21" s="1">
        <f t="shared" si="3"/>
        <v>992</v>
      </c>
      <c r="U21" s="3">
        <f t="shared" si="4"/>
        <v>23.08467741935484</v>
      </c>
      <c r="V21">
        <v>26</v>
      </c>
      <c r="W21" s="3">
        <f t="shared" si="5"/>
        <v>2.620967741935484</v>
      </c>
      <c r="X21">
        <v>966</v>
      </c>
      <c r="Y21">
        <v>0</v>
      </c>
      <c r="Z21">
        <v>0</v>
      </c>
      <c r="AA21">
        <v>252</v>
      </c>
      <c r="AB21" s="3">
        <f t="shared" si="6"/>
        <v>25.403225806451612</v>
      </c>
      <c r="AC21">
        <v>14</v>
      </c>
      <c r="AD21" s="3">
        <f t="shared" si="7"/>
        <v>1.4112903225806452</v>
      </c>
      <c r="AE21">
        <v>87</v>
      </c>
      <c r="AF21" s="3">
        <f t="shared" si="8"/>
        <v>8.7701612903225801</v>
      </c>
      <c r="AG21">
        <v>71</v>
      </c>
      <c r="AH21" s="3">
        <f t="shared" si="9"/>
        <v>7.157258064516129</v>
      </c>
      <c r="AI21">
        <v>403</v>
      </c>
      <c r="AJ21" s="3">
        <f t="shared" si="10"/>
        <v>40.625</v>
      </c>
      <c r="AK21">
        <v>60</v>
      </c>
      <c r="AL21" s="3">
        <f t="shared" si="11"/>
        <v>6.0483870967741939</v>
      </c>
      <c r="AM21">
        <v>17</v>
      </c>
      <c r="AN21" s="3">
        <f t="shared" si="12"/>
        <v>1.7137096774193548</v>
      </c>
      <c r="AO21">
        <v>5</v>
      </c>
      <c r="AP21" s="3">
        <f t="shared" si="13"/>
        <v>0.50403225806451613</v>
      </c>
      <c r="AQ21">
        <v>14</v>
      </c>
      <c r="AR21" s="3">
        <f t="shared" si="14"/>
        <v>1.4112903225806452</v>
      </c>
      <c r="AS21">
        <v>12</v>
      </c>
      <c r="AT21" s="3">
        <f t="shared" si="15"/>
        <v>1.2096774193548387</v>
      </c>
      <c r="AU21">
        <v>0</v>
      </c>
      <c r="AV21" s="3">
        <f t="shared" si="16"/>
        <v>0</v>
      </c>
      <c r="AW21">
        <v>10</v>
      </c>
      <c r="AX21" s="3">
        <f t="shared" si="17"/>
        <v>1.0080645161290323</v>
      </c>
      <c r="AY21">
        <v>5</v>
      </c>
      <c r="AZ21" s="3">
        <f t="shared" si="18"/>
        <v>0.50403225806451613</v>
      </c>
      <c r="BA21">
        <v>16</v>
      </c>
      <c r="BB21" s="3">
        <f t="shared" si="19"/>
        <v>1.6129032258064515</v>
      </c>
      <c r="BC21" t="s">
        <v>314</v>
      </c>
      <c r="BD21" s="72">
        <v>2017</v>
      </c>
      <c r="BE21" s="1"/>
      <c r="BF21"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178.58741258741262</v>
      </c>
      <c r="BG21" s="10">
        <f>2*(Дума_партии[[#This Row],[5. Всероссийская политическая партия "ЕДИНАЯ РОССИЯ"]]-(AB$203/100)*Дума_партии[[#This Row],[Число действительных избирательных бюллетеней]])</f>
        <v>255.38</v>
      </c>
      <c r="BH21" s="10">
        <f>(Дума_партии[[#This Row],[Вброс]]+Дума_партии[[#This Row],[Перекладывание]])/2</f>
        <v>216.98370629370629</v>
      </c>
    </row>
    <row r="22" spans="1:60" x14ac:dyDescent="0.4">
      <c r="A22" t="s">
        <v>49</v>
      </c>
      <c r="B22" t="s">
        <v>50</v>
      </c>
      <c r="C22" t="s">
        <v>51</v>
      </c>
      <c r="D22" t="s">
        <v>138</v>
      </c>
      <c r="E22" t="s">
        <v>150</v>
      </c>
      <c r="F22" s="8">
        <f t="shared" ca="1" si="0"/>
        <v>705</v>
      </c>
      <c r="G22" t="s">
        <v>317</v>
      </c>
      <c r="H22" s="1" t="str">
        <f>LEFT(Дума_партии[[#This Row],[tik]],4)&amp;"."&amp;IF(ISNUMBER(VALUE(RIGHT(Дума_партии[[#This Row],[tik]]))),RIGHT(Дума_партии[[#This Row],[tik]]),"")</f>
        <v>Один.</v>
      </c>
      <c r="I22">
        <v>1838</v>
      </c>
      <c r="J22" s="8">
        <f>Дума_партии[[#This Row],[Число избирателей, внесенных в список избирателей на момент окончания голосования]]</f>
        <v>1838</v>
      </c>
      <c r="K22">
        <v>1500</v>
      </c>
      <c r="L22">
        <v>0</v>
      </c>
      <c r="M22">
        <v>476</v>
      </c>
      <c r="N22">
        <v>2</v>
      </c>
      <c r="O22" s="3">
        <f t="shared" si="1"/>
        <v>26.006528835690968</v>
      </c>
      <c r="P22" s="3">
        <f t="shared" si="2"/>
        <v>0.1088139281828074</v>
      </c>
      <c r="Q22">
        <v>1022</v>
      </c>
      <c r="R22">
        <v>2</v>
      </c>
      <c r="S22">
        <v>476</v>
      </c>
      <c r="T22" s="1">
        <f t="shared" si="3"/>
        <v>478</v>
      </c>
      <c r="U22" s="3">
        <f t="shared" si="4"/>
        <v>0.41841004184100417</v>
      </c>
      <c r="V22">
        <v>10</v>
      </c>
      <c r="W22" s="3">
        <f t="shared" si="5"/>
        <v>2.0920502092050208</v>
      </c>
      <c r="X22">
        <v>468</v>
      </c>
      <c r="Y22">
        <v>0</v>
      </c>
      <c r="Z22">
        <v>0</v>
      </c>
      <c r="AA22">
        <v>132</v>
      </c>
      <c r="AB22" s="3">
        <f t="shared" si="6"/>
        <v>27.615062761506277</v>
      </c>
      <c r="AC22">
        <v>10</v>
      </c>
      <c r="AD22" s="3">
        <f t="shared" si="7"/>
        <v>2.0920502092050208</v>
      </c>
      <c r="AE22">
        <v>37</v>
      </c>
      <c r="AF22" s="3">
        <f t="shared" si="8"/>
        <v>7.7405857740585775</v>
      </c>
      <c r="AG22">
        <v>46</v>
      </c>
      <c r="AH22" s="3">
        <f t="shared" si="9"/>
        <v>9.6234309623430967</v>
      </c>
      <c r="AI22">
        <v>152</v>
      </c>
      <c r="AJ22" s="3">
        <f t="shared" si="10"/>
        <v>31.799163179916317</v>
      </c>
      <c r="AK22">
        <v>30</v>
      </c>
      <c r="AL22" s="3">
        <f t="shared" si="11"/>
        <v>6.2761506276150625</v>
      </c>
      <c r="AM22">
        <v>16</v>
      </c>
      <c r="AN22" s="3">
        <f t="shared" si="12"/>
        <v>3.3472803347280333</v>
      </c>
      <c r="AO22">
        <v>8</v>
      </c>
      <c r="AP22" s="3">
        <f t="shared" si="13"/>
        <v>1.6736401673640167</v>
      </c>
      <c r="AQ22">
        <v>6</v>
      </c>
      <c r="AR22" s="3">
        <f t="shared" si="14"/>
        <v>1.2552301255230125</v>
      </c>
      <c r="AS22">
        <v>8</v>
      </c>
      <c r="AT22" s="3">
        <f t="shared" si="15"/>
        <v>1.6736401673640167</v>
      </c>
      <c r="AU22">
        <v>0</v>
      </c>
      <c r="AV22" s="3">
        <f t="shared" si="16"/>
        <v>0</v>
      </c>
      <c r="AW22">
        <v>4</v>
      </c>
      <c r="AX22" s="3">
        <f t="shared" si="17"/>
        <v>0.83682008368200833</v>
      </c>
      <c r="AY22">
        <v>3</v>
      </c>
      <c r="AZ22" s="3">
        <f t="shared" si="18"/>
        <v>0.62761506276150625</v>
      </c>
      <c r="BA22">
        <v>16</v>
      </c>
      <c r="BB22" s="3">
        <f t="shared" si="19"/>
        <v>3.3472803347280333</v>
      </c>
      <c r="BC22" t="s">
        <v>314</v>
      </c>
      <c r="BD22" s="72">
        <v>2017</v>
      </c>
      <c r="BE22" s="1"/>
      <c r="BF22"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26.041958041958068</v>
      </c>
      <c r="BG22" s="10">
        <f>2*(Дума_партии[[#This Row],[5. Всероссийская политическая партия "ЕДИНАЯ РОССИЯ"]]-(AB$203/100)*Дума_партии[[#This Row],[Число действительных избирательных бюллетеней]])</f>
        <v>37.240000000000009</v>
      </c>
      <c r="BH22" s="10">
        <f>(Дума_партии[[#This Row],[Вброс]]+Дума_партии[[#This Row],[Перекладывание]])/2</f>
        <v>31.640979020979039</v>
      </c>
    </row>
    <row r="23" spans="1:60" x14ac:dyDescent="0.4">
      <c r="A23" t="s">
        <v>49</v>
      </c>
      <c r="B23" t="s">
        <v>50</v>
      </c>
      <c r="C23" t="s">
        <v>51</v>
      </c>
      <c r="D23" t="s">
        <v>138</v>
      </c>
      <c r="E23" t="s">
        <v>151</v>
      </c>
      <c r="F23" s="8">
        <f t="shared" ca="1" si="0"/>
        <v>2048</v>
      </c>
      <c r="G23" t="s">
        <v>318</v>
      </c>
      <c r="H23" s="1" t="str">
        <f>LEFT(Дума_партии[[#This Row],[tik]],4)&amp;"."&amp;IF(ISNUMBER(VALUE(RIGHT(Дума_партии[[#This Row],[tik]]))),RIGHT(Дума_партии[[#This Row],[tik]]),"")</f>
        <v>Один.</v>
      </c>
      <c r="I23">
        <v>2079</v>
      </c>
      <c r="J23" s="8">
        <f>Дума_партии[[#This Row],[Число избирателей, внесенных в список избирателей на момент окончания голосования]]</f>
        <v>2079</v>
      </c>
      <c r="K23">
        <v>1700</v>
      </c>
      <c r="L23">
        <v>0</v>
      </c>
      <c r="M23">
        <v>974</v>
      </c>
      <c r="N23">
        <v>21</v>
      </c>
      <c r="O23" s="3">
        <f t="shared" si="1"/>
        <v>47.85954785954786</v>
      </c>
      <c r="P23" s="3">
        <f t="shared" si="2"/>
        <v>1.0101010101010102</v>
      </c>
      <c r="Q23">
        <v>705</v>
      </c>
      <c r="R23">
        <v>21</v>
      </c>
      <c r="S23">
        <v>974</v>
      </c>
      <c r="T23" s="1">
        <f t="shared" si="3"/>
        <v>995</v>
      </c>
      <c r="U23" s="3">
        <f t="shared" si="4"/>
        <v>2.1105527638190953</v>
      </c>
      <c r="V23">
        <v>5</v>
      </c>
      <c r="W23" s="3">
        <f t="shared" si="5"/>
        <v>0.50251256281407031</v>
      </c>
      <c r="X23">
        <v>990</v>
      </c>
      <c r="Y23">
        <v>0</v>
      </c>
      <c r="Z23">
        <v>0</v>
      </c>
      <c r="AA23">
        <v>253</v>
      </c>
      <c r="AB23" s="3">
        <f t="shared" si="6"/>
        <v>25.427135678391959</v>
      </c>
      <c r="AC23">
        <v>18</v>
      </c>
      <c r="AD23" s="3">
        <f t="shared" si="7"/>
        <v>1.8090452261306533</v>
      </c>
      <c r="AE23">
        <v>76</v>
      </c>
      <c r="AF23" s="3">
        <f t="shared" si="8"/>
        <v>7.6381909547738696</v>
      </c>
      <c r="AG23">
        <v>50</v>
      </c>
      <c r="AH23" s="3">
        <f t="shared" si="9"/>
        <v>5.025125628140704</v>
      </c>
      <c r="AI23">
        <v>462</v>
      </c>
      <c r="AJ23" s="3">
        <f t="shared" si="10"/>
        <v>46.4321608040201</v>
      </c>
      <c r="AK23">
        <v>55</v>
      </c>
      <c r="AL23" s="3">
        <f t="shared" si="11"/>
        <v>5.5276381909547743</v>
      </c>
      <c r="AM23">
        <v>8</v>
      </c>
      <c r="AN23" s="3">
        <f t="shared" si="12"/>
        <v>0.8040201005025126</v>
      </c>
      <c r="AO23">
        <v>3</v>
      </c>
      <c r="AP23" s="3">
        <f t="shared" si="13"/>
        <v>0.30150753768844218</v>
      </c>
      <c r="AQ23">
        <v>12</v>
      </c>
      <c r="AR23" s="3">
        <f t="shared" si="14"/>
        <v>1.2060301507537687</v>
      </c>
      <c r="AS23">
        <v>8</v>
      </c>
      <c r="AT23" s="3">
        <f t="shared" si="15"/>
        <v>0.8040201005025126</v>
      </c>
      <c r="AU23">
        <v>0</v>
      </c>
      <c r="AV23" s="3">
        <f t="shared" si="16"/>
        <v>0</v>
      </c>
      <c r="AW23">
        <v>8</v>
      </c>
      <c r="AX23" s="3">
        <f t="shared" si="17"/>
        <v>0.8040201005025126</v>
      </c>
      <c r="AY23">
        <v>9</v>
      </c>
      <c r="AZ23" s="3">
        <f t="shared" si="18"/>
        <v>0.90452261306532666</v>
      </c>
      <c r="BA23">
        <v>28</v>
      </c>
      <c r="BB23" s="3">
        <f t="shared" si="19"/>
        <v>2.8140703517587942</v>
      </c>
      <c r="BC23" t="s">
        <v>314</v>
      </c>
      <c r="BD23" t="s">
        <v>455</v>
      </c>
      <c r="BE23" s="1"/>
      <c r="BF23"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251.53846153846158</v>
      </c>
      <c r="BG23" s="10">
        <f>2*(Дума_партии[[#This Row],[5. Всероссийская политическая партия "ЕДИНАЯ РОССИЯ"]]-(AB$203/100)*Дума_партии[[#This Row],[Число действительных избирательных бюллетеней]])</f>
        <v>359.70000000000005</v>
      </c>
      <c r="BH23" s="10">
        <f>(Дума_партии[[#This Row],[Вброс]]+Дума_партии[[#This Row],[Перекладывание]])/2</f>
        <v>305.6192307692308</v>
      </c>
    </row>
    <row r="24" spans="1:60" x14ac:dyDescent="0.4">
      <c r="A24" t="s">
        <v>49</v>
      </c>
      <c r="B24" t="s">
        <v>50</v>
      </c>
      <c r="C24" t="s">
        <v>51</v>
      </c>
      <c r="D24" t="s">
        <v>138</v>
      </c>
      <c r="E24" t="s">
        <v>152</v>
      </c>
      <c r="F24" s="8">
        <f t="shared" ca="1" si="0"/>
        <v>2050</v>
      </c>
      <c r="G24" t="s">
        <v>318</v>
      </c>
      <c r="H24" s="1" t="str">
        <f>LEFT(Дума_партии[[#This Row],[tik]],4)&amp;"."&amp;IF(ISNUMBER(VALUE(RIGHT(Дума_партии[[#This Row],[tik]]))),RIGHT(Дума_партии[[#This Row],[tik]]),"")</f>
        <v>Один.</v>
      </c>
      <c r="I24">
        <v>2215</v>
      </c>
      <c r="J24" s="8">
        <f>Дума_партии[[#This Row],[Число избирателей, внесенных в список избирателей на момент окончания голосования]]</f>
        <v>2215</v>
      </c>
      <c r="K24">
        <v>2000</v>
      </c>
      <c r="L24">
        <v>0</v>
      </c>
      <c r="M24">
        <v>699</v>
      </c>
      <c r="N24">
        <v>36</v>
      </c>
      <c r="O24" s="3">
        <f t="shared" si="1"/>
        <v>33.182844243792324</v>
      </c>
      <c r="P24" s="3">
        <f t="shared" si="2"/>
        <v>1.6252821670428894</v>
      </c>
      <c r="Q24">
        <v>1265</v>
      </c>
      <c r="R24">
        <v>35</v>
      </c>
      <c r="S24">
        <v>699</v>
      </c>
      <c r="T24" s="1">
        <f t="shared" si="3"/>
        <v>734</v>
      </c>
      <c r="U24" s="3">
        <f t="shared" si="4"/>
        <v>4.7683923705722071</v>
      </c>
      <c r="V24">
        <v>13</v>
      </c>
      <c r="W24" s="3">
        <f t="shared" si="5"/>
        <v>1.771117166212534</v>
      </c>
      <c r="X24">
        <v>721</v>
      </c>
      <c r="Y24">
        <v>0</v>
      </c>
      <c r="Z24">
        <v>0</v>
      </c>
      <c r="AA24">
        <v>240</v>
      </c>
      <c r="AB24" s="3">
        <f t="shared" si="6"/>
        <v>32.697547683923709</v>
      </c>
      <c r="AC24">
        <v>14</v>
      </c>
      <c r="AD24" s="3">
        <f t="shared" si="7"/>
        <v>1.9073569482288828</v>
      </c>
      <c r="AE24">
        <v>58</v>
      </c>
      <c r="AF24" s="3">
        <f t="shared" si="8"/>
        <v>7.9019073569482288</v>
      </c>
      <c r="AG24">
        <v>48</v>
      </c>
      <c r="AH24" s="3">
        <f t="shared" si="9"/>
        <v>6.5395095367847409</v>
      </c>
      <c r="AI24">
        <v>187</v>
      </c>
      <c r="AJ24" s="3">
        <f t="shared" si="10"/>
        <v>25.47683923705722</v>
      </c>
      <c r="AK24">
        <v>64</v>
      </c>
      <c r="AL24" s="3">
        <f t="shared" si="11"/>
        <v>8.7193460490463224</v>
      </c>
      <c r="AM24">
        <v>27</v>
      </c>
      <c r="AN24" s="3">
        <f t="shared" si="12"/>
        <v>3.6784741144414168</v>
      </c>
      <c r="AO24">
        <v>7</v>
      </c>
      <c r="AP24" s="3">
        <f t="shared" si="13"/>
        <v>0.9536784741144414</v>
      </c>
      <c r="AQ24">
        <v>7</v>
      </c>
      <c r="AR24" s="3">
        <f t="shared" si="14"/>
        <v>0.9536784741144414</v>
      </c>
      <c r="AS24">
        <v>20</v>
      </c>
      <c r="AT24" s="3">
        <f t="shared" si="15"/>
        <v>2.7247956403269753</v>
      </c>
      <c r="AU24">
        <v>1</v>
      </c>
      <c r="AV24" s="3">
        <f t="shared" si="16"/>
        <v>0.13623978201634879</v>
      </c>
      <c r="AW24">
        <v>11</v>
      </c>
      <c r="AX24" s="3">
        <f t="shared" si="17"/>
        <v>1.4986376021798364</v>
      </c>
      <c r="AY24">
        <v>10</v>
      </c>
      <c r="AZ24" s="3">
        <f t="shared" si="18"/>
        <v>1.3623978201634876</v>
      </c>
      <c r="BA24">
        <v>27</v>
      </c>
      <c r="BB24" s="3">
        <f t="shared" si="19"/>
        <v>3.6784741144414168</v>
      </c>
      <c r="BC24" t="s">
        <v>314</v>
      </c>
      <c r="BD24" s="72">
        <v>2017</v>
      </c>
      <c r="BE24" s="1"/>
      <c r="BF24"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-25.853146853146825</v>
      </c>
      <c r="BG24" s="10">
        <f>2*(Дума_партии[[#This Row],[5. Всероссийская политическая партия "ЕДИНАЯ РОССИЯ"]]-(AB$203/100)*Дума_партии[[#This Row],[Число действительных избирательных бюллетеней]])</f>
        <v>-36.96999999999997</v>
      </c>
      <c r="BH24" s="10">
        <f>(Дума_партии[[#This Row],[Вброс]]+Дума_партии[[#This Row],[Перекладывание]])/2</f>
        <v>-31.411573426573398</v>
      </c>
    </row>
    <row r="25" spans="1:60" x14ac:dyDescent="0.4">
      <c r="A25" t="s">
        <v>49</v>
      </c>
      <c r="B25" t="s">
        <v>50</v>
      </c>
      <c r="C25" t="s">
        <v>51</v>
      </c>
      <c r="D25" t="s">
        <v>138</v>
      </c>
      <c r="E25" t="s">
        <v>153</v>
      </c>
      <c r="F25" s="8">
        <f t="shared" ca="1" si="0"/>
        <v>2051</v>
      </c>
      <c r="G25" t="s">
        <v>318</v>
      </c>
      <c r="H25" s="1" t="str">
        <f>LEFT(Дума_партии[[#This Row],[tik]],4)&amp;"."&amp;IF(ISNUMBER(VALUE(RIGHT(Дума_партии[[#This Row],[tik]]))),RIGHT(Дума_партии[[#This Row],[tik]]),"")</f>
        <v>Один.</v>
      </c>
      <c r="I25">
        <v>2085</v>
      </c>
      <c r="J25" s="8">
        <f>Дума_партии[[#This Row],[Число избирателей, внесенных в список избирателей на момент окончания голосования]]</f>
        <v>2085</v>
      </c>
      <c r="K25">
        <v>1800</v>
      </c>
      <c r="L25">
        <v>0</v>
      </c>
      <c r="M25">
        <v>767</v>
      </c>
      <c r="N25">
        <v>32</v>
      </c>
      <c r="O25" s="3">
        <f t="shared" si="1"/>
        <v>38.321342925659472</v>
      </c>
      <c r="P25" s="3">
        <f t="shared" si="2"/>
        <v>1.5347721822541966</v>
      </c>
      <c r="Q25">
        <v>1001</v>
      </c>
      <c r="R25">
        <v>32</v>
      </c>
      <c r="S25">
        <v>767</v>
      </c>
      <c r="T25" s="1">
        <f t="shared" si="3"/>
        <v>799</v>
      </c>
      <c r="U25" s="3">
        <f t="shared" si="4"/>
        <v>4.005006257822278</v>
      </c>
      <c r="V25">
        <v>30</v>
      </c>
      <c r="W25" s="3">
        <f t="shared" si="5"/>
        <v>3.7546933667083855</v>
      </c>
      <c r="X25">
        <v>769</v>
      </c>
      <c r="Y25">
        <v>0</v>
      </c>
      <c r="Z25">
        <v>0</v>
      </c>
      <c r="AA25">
        <v>228</v>
      </c>
      <c r="AB25" s="3">
        <f t="shared" si="6"/>
        <v>28.53566958698373</v>
      </c>
      <c r="AC25">
        <v>24</v>
      </c>
      <c r="AD25" s="3">
        <f t="shared" si="7"/>
        <v>3.0037546933667083</v>
      </c>
      <c r="AE25">
        <v>77</v>
      </c>
      <c r="AF25" s="3">
        <f t="shared" si="8"/>
        <v>9.6370463078848569</v>
      </c>
      <c r="AG25">
        <v>57</v>
      </c>
      <c r="AH25" s="3">
        <f t="shared" si="9"/>
        <v>7.1339173967459324</v>
      </c>
      <c r="AI25">
        <v>207</v>
      </c>
      <c r="AJ25" s="3">
        <f t="shared" si="10"/>
        <v>25.90738423028786</v>
      </c>
      <c r="AK25">
        <v>81</v>
      </c>
      <c r="AL25" s="3">
        <f t="shared" si="11"/>
        <v>10.137672090112641</v>
      </c>
      <c r="AM25">
        <v>7</v>
      </c>
      <c r="AN25" s="3">
        <f t="shared" si="12"/>
        <v>0.87609511889862324</v>
      </c>
      <c r="AO25">
        <v>7</v>
      </c>
      <c r="AP25" s="3">
        <f t="shared" si="13"/>
        <v>0.87609511889862324</v>
      </c>
      <c r="AQ25">
        <v>8</v>
      </c>
      <c r="AR25" s="3">
        <f t="shared" si="14"/>
        <v>1.0012515644555695</v>
      </c>
      <c r="AS25">
        <v>20</v>
      </c>
      <c r="AT25" s="3">
        <f t="shared" si="15"/>
        <v>2.5031289111389237</v>
      </c>
      <c r="AU25">
        <v>0</v>
      </c>
      <c r="AV25" s="3">
        <f t="shared" si="16"/>
        <v>0</v>
      </c>
      <c r="AW25">
        <v>8</v>
      </c>
      <c r="AX25" s="3">
        <f t="shared" si="17"/>
        <v>1.0012515644555695</v>
      </c>
      <c r="AY25">
        <v>6</v>
      </c>
      <c r="AZ25" s="3">
        <f t="shared" si="18"/>
        <v>0.75093867334167708</v>
      </c>
      <c r="BA25">
        <v>39</v>
      </c>
      <c r="BB25" s="3">
        <f t="shared" si="19"/>
        <v>4.8811013767209008</v>
      </c>
      <c r="BC25" t="s">
        <v>314</v>
      </c>
      <c r="BD25" s="72">
        <v>2017</v>
      </c>
      <c r="BE25" s="1"/>
      <c r="BF25"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-17.013986013985971</v>
      </c>
      <c r="BG25" s="10">
        <f>2*(Дума_партии[[#This Row],[5. Всероссийская политическая партия "ЕДИНАЯ РОССИЯ"]]-(AB$203/100)*Дума_партии[[#This Row],[Число действительных избирательных бюллетеней]])</f>
        <v>-24.329999999999984</v>
      </c>
      <c r="BH25" s="10">
        <f>(Дума_партии[[#This Row],[Вброс]]+Дума_партии[[#This Row],[Перекладывание]])/2</f>
        <v>-20.671993006992977</v>
      </c>
    </row>
    <row r="26" spans="1:60" x14ac:dyDescent="0.4">
      <c r="A26" t="s">
        <v>49</v>
      </c>
      <c r="B26" t="s">
        <v>50</v>
      </c>
      <c r="C26" t="s">
        <v>51</v>
      </c>
      <c r="D26" t="s">
        <v>138</v>
      </c>
      <c r="E26" t="s">
        <v>154</v>
      </c>
      <c r="F26" s="8">
        <f t="shared" ca="1" si="0"/>
        <v>2054</v>
      </c>
      <c r="G26" t="s">
        <v>318</v>
      </c>
      <c r="H26" s="1" t="str">
        <f>LEFT(Дума_партии[[#This Row],[tik]],4)&amp;"."&amp;IF(ISNUMBER(VALUE(RIGHT(Дума_партии[[#This Row],[tik]]))),RIGHT(Дума_партии[[#This Row],[tik]]),"")</f>
        <v>Один.</v>
      </c>
      <c r="I26">
        <v>2269</v>
      </c>
      <c r="J26" s="8">
        <f>Дума_партии[[#This Row],[Число избирателей, внесенных в список избирателей на момент окончания голосования]]</f>
        <v>2269</v>
      </c>
      <c r="K26">
        <v>2000</v>
      </c>
      <c r="L26">
        <v>0</v>
      </c>
      <c r="M26">
        <v>691</v>
      </c>
      <c r="N26">
        <v>43</v>
      </c>
      <c r="O26" s="3">
        <f t="shared" si="1"/>
        <v>32.349052446011456</v>
      </c>
      <c r="P26" s="3">
        <f t="shared" si="2"/>
        <v>1.8951079770824151</v>
      </c>
      <c r="Q26">
        <v>1263</v>
      </c>
      <c r="R26">
        <v>41</v>
      </c>
      <c r="S26">
        <v>690</v>
      </c>
      <c r="T26" s="1">
        <f t="shared" si="3"/>
        <v>731</v>
      </c>
      <c r="U26" s="3">
        <f t="shared" si="4"/>
        <v>5.6087551299589604</v>
      </c>
      <c r="V26">
        <v>22</v>
      </c>
      <c r="W26" s="3">
        <f t="shared" si="5"/>
        <v>3.0095759233926129</v>
      </c>
      <c r="X26">
        <v>709</v>
      </c>
      <c r="Y26">
        <v>3</v>
      </c>
      <c r="Z26">
        <v>0</v>
      </c>
      <c r="AA26">
        <v>186</v>
      </c>
      <c r="AB26" s="3">
        <f t="shared" si="6"/>
        <v>25.444596443228455</v>
      </c>
      <c r="AC26">
        <v>10</v>
      </c>
      <c r="AD26" s="3">
        <f t="shared" si="7"/>
        <v>1.3679890560875514</v>
      </c>
      <c r="AE26">
        <v>79</v>
      </c>
      <c r="AF26" s="3">
        <f t="shared" si="8"/>
        <v>10.807113543091655</v>
      </c>
      <c r="AG26">
        <v>46</v>
      </c>
      <c r="AH26" s="3">
        <f t="shared" si="9"/>
        <v>6.2927496580027356</v>
      </c>
      <c r="AI26">
        <v>245</v>
      </c>
      <c r="AJ26" s="3">
        <f t="shared" si="10"/>
        <v>33.515731874145004</v>
      </c>
      <c r="AK26">
        <v>63</v>
      </c>
      <c r="AL26" s="3">
        <f t="shared" si="11"/>
        <v>8.6183310533515733</v>
      </c>
      <c r="AM26">
        <v>12</v>
      </c>
      <c r="AN26" s="3">
        <f t="shared" si="12"/>
        <v>1.6415868673050615</v>
      </c>
      <c r="AO26">
        <v>4</v>
      </c>
      <c r="AP26" s="3">
        <f t="shared" si="13"/>
        <v>0.54719562243502051</v>
      </c>
      <c r="AQ26">
        <v>9</v>
      </c>
      <c r="AR26" s="3">
        <f t="shared" si="14"/>
        <v>1.2311901504787961</v>
      </c>
      <c r="AS26">
        <v>13</v>
      </c>
      <c r="AT26" s="3">
        <f t="shared" si="15"/>
        <v>1.7783857729138166</v>
      </c>
      <c r="AU26">
        <v>0</v>
      </c>
      <c r="AV26" s="3">
        <f t="shared" si="16"/>
        <v>0</v>
      </c>
      <c r="AW26">
        <v>11</v>
      </c>
      <c r="AX26" s="3">
        <f t="shared" si="17"/>
        <v>1.5047879616963065</v>
      </c>
      <c r="AY26">
        <v>6</v>
      </c>
      <c r="AZ26" s="3">
        <f t="shared" si="18"/>
        <v>0.82079343365253077</v>
      </c>
      <c r="BA26">
        <v>25</v>
      </c>
      <c r="BB26" s="3">
        <f t="shared" si="19"/>
        <v>3.4199726402188784</v>
      </c>
      <c r="BC26" t="s">
        <v>314</v>
      </c>
      <c r="BD26" s="72">
        <v>2017</v>
      </c>
      <c r="BE26" s="1"/>
      <c r="BF26"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60.048951048951068</v>
      </c>
      <c r="BG26" s="10">
        <f>2*(Дума_партии[[#This Row],[5. Всероссийская политическая партия "ЕДИНАЯ РОССИЯ"]]-(AB$203/100)*Дума_партии[[#This Row],[Число действительных избирательных бюллетеней]])</f>
        <v>85.870000000000061</v>
      </c>
      <c r="BH26" s="10">
        <f>(Дума_партии[[#This Row],[Вброс]]+Дума_партии[[#This Row],[Перекладывание]])/2</f>
        <v>72.959475524475565</v>
      </c>
    </row>
    <row r="27" spans="1:60" x14ac:dyDescent="0.4">
      <c r="A27" t="s">
        <v>49</v>
      </c>
      <c r="B27" t="s">
        <v>50</v>
      </c>
      <c r="C27" t="s">
        <v>51</v>
      </c>
      <c r="D27" t="s">
        <v>138</v>
      </c>
      <c r="E27" t="s">
        <v>155</v>
      </c>
      <c r="F27" s="8">
        <f t="shared" ca="1" si="0"/>
        <v>2056</v>
      </c>
      <c r="G27" t="s">
        <v>318</v>
      </c>
      <c r="H27" s="1" t="str">
        <f>LEFT(Дума_партии[[#This Row],[tik]],4)&amp;"."&amp;IF(ISNUMBER(VALUE(RIGHT(Дума_партии[[#This Row],[tik]]))),RIGHT(Дума_партии[[#This Row],[tik]]),"")</f>
        <v>Один.</v>
      </c>
      <c r="I27">
        <v>2112</v>
      </c>
      <c r="J27" s="8">
        <f>Дума_партии[[#This Row],[Число избирателей, внесенных в список избирателей на момент окончания голосования]]</f>
        <v>2112</v>
      </c>
      <c r="K27">
        <v>1800</v>
      </c>
      <c r="L27">
        <v>0</v>
      </c>
      <c r="M27">
        <v>735</v>
      </c>
      <c r="N27">
        <v>79</v>
      </c>
      <c r="O27" s="3">
        <f t="shared" si="1"/>
        <v>38.541666666666664</v>
      </c>
      <c r="P27" s="3">
        <f t="shared" si="2"/>
        <v>3.7405303030303032</v>
      </c>
      <c r="Q27">
        <v>986</v>
      </c>
      <c r="R27">
        <v>79</v>
      </c>
      <c r="S27">
        <v>735</v>
      </c>
      <c r="T27" s="1">
        <f t="shared" si="3"/>
        <v>814</v>
      </c>
      <c r="U27" s="3">
        <f t="shared" si="4"/>
        <v>9.7051597051597049</v>
      </c>
      <c r="V27">
        <v>29</v>
      </c>
      <c r="W27" s="3">
        <f t="shared" si="5"/>
        <v>3.5626535626535625</v>
      </c>
      <c r="X27">
        <v>785</v>
      </c>
      <c r="Y27">
        <v>0</v>
      </c>
      <c r="Z27">
        <v>0</v>
      </c>
      <c r="AA27">
        <v>224</v>
      </c>
      <c r="AB27" s="3">
        <f t="shared" si="6"/>
        <v>27.518427518427519</v>
      </c>
      <c r="AC27">
        <v>15</v>
      </c>
      <c r="AD27" s="3">
        <f t="shared" si="7"/>
        <v>1.8427518427518428</v>
      </c>
      <c r="AE27">
        <v>51</v>
      </c>
      <c r="AF27" s="3">
        <f t="shared" si="8"/>
        <v>6.2653562653562656</v>
      </c>
      <c r="AG27">
        <v>51</v>
      </c>
      <c r="AH27" s="3">
        <f t="shared" si="9"/>
        <v>6.2653562653562656</v>
      </c>
      <c r="AI27">
        <v>270</v>
      </c>
      <c r="AJ27" s="3">
        <f t="shared" si="10"/>
        <v>33.169533169533167</v>
      </c>
      <c r="AK27">
        <v>62</v>
      </c>
      <c r="AL27" s="3">
        <f t="shared" si="11"/>
        <v>7.6167076167076164</v>
      </c>
      <c r="AM27">
        <v>16</v>
      </c>
      <c r="AN27" s="3">
        <f t="shared" si="12"/>
        <v>1.9656019656019657</v>
      </c>
      <c r="AO27">
        <v>4</v>
      </c>
      <c r="AP27" s="3">
        <f t="shared" si="13"/>
        <v>0.49140049140049141</v>
      </c>
      <c r="AQ27">
        <v>15</v>
      </c>
      <c r="AR27" s="3">
        <f t="shared" si="14"/>
        <v>1.8427518427518428</v>
      </c>
      <c r="AS27">
        <v>23</v>
      </c>
      <c r="AT27" s="3">
        <f t="shared" si="15"/>
        <v>2.8255528255528257</v>
      </c>
      <c r="AU27">
        <v>3</v>
      </c>
      <c r="AV27" s="3">
        <f t="shared" si="16"/>
        <v>0.36855036855036855</v>
      </c>
      <c r="AW27">
        <v>7</v>
      </c>
      <c r="AX27" s="3">
        <f t="shared" si="17"/>
        <v>0.85995085995085996</v>
      </c>
      <c r="AY27">
        <v>9</v>
      </c>
      <c r="AZ27" s="3">
        <f t="shared" si="18"/>
        <v>1.1056511056511056</v>
      </c>
      <c r="BA27">
        <v>35</v>
      </c>
      <c r="BB27" s="3">
        <f t="shared" si="19"/>
        <v>4.2997542997542997</v>
      </c>
      <c r="BC27" t="s">
        <v>314</v>
      </c>
      <c r="BD27" s="72">
        <v>2017</v>
      </c>
      <c r="BE27" s="1"/>
      <c r="BF27"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64.720279720279763</v>
      </c>
      <c r="BG27" s="10">
        <f>2*(Дума_партии[[#This Row],[5. Всероссийская политическая партия "ЕДИНАЯ РОССИЯ"]]-(AB$203/100)*Дума_партии[[#This Row],[Число действительных избирательных бюллетеней]])</f>
        <v>92.550000000000011</v>
      </c>
      <c r="BH27" s="10">
        <f>(Дума_партии[[#This Row],[Вброс]]+Дума_партии[[#This Row],[Перекладывание]])/2</f>
        <v>78.635139860139887</v>
      </c>
    </row>
    <row r="28" spans="1:60" s="17" customFormat="1" x14ac:dyDescent="0.4">
      <c r="A28" s="17" t="s">
        <v>49</v>
      </c>
      <c r="B28" s="17" t="s">
        <v>50</v>
      </c>
      <c r="C28" s="17" t="s">
        <v>51</v>
      </c>
      <c r="D28" s="17" t="s">
        <v>138</v>
      </c>
      <c r="E28" s="17" t="s">
        <v>156</v>
      </c>
      <c r="F28" s="24">
        <f t="shared" ca="1" si="0"/>
        <v>2058</v>
      </c>
      <c r="G28" s="17" t="s">
        <v>319</v>
      </c>
      <c r="H28" s="17" t="str">
        <f>LEFT(Дума_партии[[#This Row],[tik]],4)&amp;"."&amp;IF(ISNUMBER(VALUE(RIGHT(Дума_партии[[#This Row],[tik]]))),RIGHT(Дума_партии[[#This Row],[tik]]),"")</f>
        <v>Один.</v>
      </c>
      <c r="I28" s="17">
        <v>2016</v>
      </c>
      <c r="J28" s="24">
        <f>Дума_партии[[#This Row],[Число избирателей, внесенных в список избирателей на момент окончания голосования]]</f>
        <v>2016</v>
      </c>
      <c r="K28" s="17">
        <v>1500</v>
      </c>
      <c r="L28" s="17">
        <v>0</v>
      </c>
      <c r="M28" s="17">
        <v>1074</v>
      </c>
      <c r="N28" s="17">
        <v>23</v>
      </c>
      <c r="O28" s="25">
        <f t="shared" si="1"/>
        <v>54.414682539682538</v>
      </c>
      <c r="P28" s="25">
        <f t="shared" si="2"/>
        <v>1.1408730158730158</v>
      </c>
      <c r="Q28" s="17">
        <v>403</v>
      </c>
      <c r="R28" s="17">
        <v>23</v>
      </c>
      <c r="S28" s="17">
        <v>1074</v>
      </c>
      <c r="T28" s="17">
        <f t="shared" si="3"/>
        <v>1097</v>
      </c>
      <c r="U28" s="25">
        <f t="shared" si="4"/>
        <v>2.096627164995442</v>
      </c>
      <c r="V28" s="17">
        <v>33</v>
      </c>
      <c r="W28" s="25">
        <f t="shared" si="5"/>
        <v>3.00820419325433</v>
      </c>
      <c r="X28" s="17">
        <v>1064</v>
      </c>
      <c r="Y28" s="17">
        <v>0</v>
      </c>
      <c r="Z28" s="17">
        <v>0</v>
      </c>
      <c r="AA28" s="17">
        <v>243</v>
      </c>
      <c r="AB28" s="25">
        <f t="shared" si="6"/>
        <v>22.151321786690975</v>
      </c>
      <c r="AC28" s="17">
        <v>10</v>
      </c>
      <c r="AD28" s="25">
        <f t="shared" si="7"/>
        <v>0.91157702825888787</v>
      </c>
      <c r="AE28" s="17">
        <v>59</v>
      </c>
      <c r="AF28" s="25">
        <f t="shared" si="8"/>
        <v>5.3783044667274389</v>
      </c>
      <c r="AG28" s="17">
        <v>87</v>
      </c>
      <c r="AH28" s="25">
        <f t="shared" si="9"/>
        <v>7.9307201458523249</v>
      </c>
      <c r="AI28" s="17">
        <v>462</v>
      </c>
      <c r="AJ28" s="25">
        <f t="shared" si="10"/>
        <v>42.114858705560621</v>
      </c>
      <c r="AK28" s="17">
        <v>79</v>
      </c>
      <c r="AL28" s="25">
        <f t="shared" si="11"/>
        <v>7.201458523245214</v>
      </c>
      <c r="AM28" s="17">
        <v>22</v>
      </c>
      <c r="AN28" s="25">
        <f t="shared" si="12"/>
        <v>2.0054694621695535</v>
      </c>
      <c r="AO28" s="17">
        <v>7</v>
      </c>
      <c r="AP28" s="25">
        <f t="shared" si="13"/>
        <v>0.6381039197812215</v>
      </c>
      <c r="AQ28" s="17">
        <v>7</v>
      </c>
      <c r="AR28" s="25">
        <f t="shared" si="14"/>
        <v>0.6381039197812215</v>
      </c>
      <c r="AS28" s="17">
        <v>26</v>
      </c>
      <c r="AT28" s="25">
        <f t="shared" si="15"/>
        <v>2.3701002734731085</v>
      </c>
      <c r="AU28" s="17">
        <v>0</v>
      </c>
      <c r="AV28" s="25">
        <f t="shared" si="16"/>
        <v>0</v>
      </c>
      <c r="AW28" s="17">
        <v>13</v>
      </c>
      <c r="AX28" s="25">
        <f t="shared" si="17"/>
        <v>1.1850501367365542</v>
      </c>
      <c r="AY28" s="17">
        <v>15</v>
      </c>
      <c r="AZ28" s="25">
        <f t="shared" si="18"/>
        <v>1.3673655423883317</v>
      </c>
      <c r="BA28" s="17">
        <v>34</v>
      </c>
      <c r="BB28" s="25">
        <f t="shared" si="19"/>
        <v>3.0993618960802189</v>
      </c>
      <c r="BC28" s="17" t="s">
        <v>314</v>
      </c>
      <c r="BD28" s="73">
        <v>2017</v>
      </c>
      <c r="BF28" s="26">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222.04195804195808</v>
      </c>
      <c r="BG28" s="26">
        <f>2*(Дума_партии[[#This Row],[5. Всероссийская политическая партия "ЕДИНАЯ РОССИЯ"]]-(AB$203/100)*Дума_партии[[#This Row],[Число действительных избирательных бюллетеней]])</f>
        <v>317.5200000000001</v>
      </c>
      <c r="BH28" s="26">
        <f>(Дума_партии[[#This Row],[Вброс]]+Дума_партии[[#This Row],[Перекладывание]])/2</f>
        <v>269.78097902097909</v>
      </c>
    </row>
    <row r="29" spans="1:60" s="17" customFormat="1" x14ac:dyDescent="0.4">
      <c r="A29" s="17" t="s">
        <v>49</v>
      </c>
      <c r="B29" s="17" t="s">
        <v>50</v>
      </c>
      <c r="C29" s="17" t="s">
        <v>51</v>
      </c>
      <c r="D29" s="17" t="s">
        <v>138</v>
      </c>
      <c r="E29" s="17" t="s">
        <v>157</v>
      </c>
      <c r="F29" s="24">
        <f t="shared" ca="1" si="0"/>
        <v>2059</v>
      </c>
      <c r="G29" s="17" t="s">
        <v>319</v>
      </c>
      <c r="H29" s="17" t="str">
        <f>LEFT(Дума_партии[[#This Row],[tik]],4)&amp;"."&amp;IF(ISNUMBER(VALUE(RIGHT(Дума_партии[[#This Row],[tik]]))),RIGHT(Дума_партии[[#This Row],[tik]]),"")</f>
        <v>Один.</v>
      </c>
      <c r="I29" s="17">
        <v>2330</v>
      </c>
      <c r="J29" s="24">
        <f>Дума_партии[[#This Row],[Число избирателей, внесенных в список избирателей на момент окончания голосования]]</f>
        <v>2330</v>
      </c>
      <c r="K29" s="17">
        <v>1800</v>
      </c>
      <c r="L29" s="17">
        <v>0</v>
      </c>
      <c r="M29" s="17">
        <v>1032</v>
      </c>
      <c r="N29" s="17">
        <v>9</v>
      </c>
      <c r="O29" s="25">
        <f t="shared" si="1"/>
        <v>44.678111587982833</v>
      </c>
      <c r="P29" s="25">
        <f t="shared" si="2"/>
        <v>0.38626609442060084</v>
      </c>
      <c r="Q29" s="17">
        <v>759</v>
      </c>
      <c r="R29" s="17">
        <v>9</v>
      </c>
      <c r="S29" s="17">
        <v>1020</v>
      </c>
      <c r="T29" s="17">
        <f t="shared" si="3"/>
        <v>1029</v>
      </c>
      <c r="U29" s="25">
        <f t="shared" si="4"/>
        <v>0.87463556851311952</v>
      </c>
      <c r="V29" s="17">
        <v>30</v>
      </c>
      <c r="W29" s="25">
        <f t="shared" si="5"/>
        <v>2.9154518950437316</v>
      </c>
      <c r="X29" s="17">
        <v>999</v>
      </c>
      <c r="Y29" s="17">
        <v>0</v>
      </c>
      <c r="Z29" s="17">
        <v>0</v>
      </c>
      <c r="AA29" s="17">
        <v>218</v>
      </c>
      <c r="AB29" s="25">
        <f t="shared" si="6"/>
        <v>21.185617103984452</v>
      </c>
      <c r="AC29" s="17">
        <v>14</v>
      </c>
      <c r="AD29" s="25">
        <f t="shared" si="7"/>
        <v>1.3605442176870748</v>
      </c>
      <c r="AE29" s="17">
        <v>90</v>
      </c>
      <c r="AF29" s="25">
        <f t="shared" si="8"/>
        <v>8.7463556851311957</v>
      </c>
      <c r="AG29" s="17">
        <v>88</v>
      </c>
      <c r="AH29" s="25">
        <f t="shared" si="9"/>
        <v>8.5519922254616141</v>
      </c>
      <c r="AI29" s="17">
        <v>439</v>
      </c>
      <c r="AJ29" s="25">
        <f t="shared" si="10"/>
        <v>42.662779397473273</v>
      </c>
      <c r="AK29" s="17">
        <v>57</v>
      </c>
      <c r="AL29" s="25">
        <f t="shared" si="11"/>
        <v>5.5393586005830908</v>
      </c>
      <c r="AM29" s="17">
        <v>15</v>
      </c>
      <c r="AN29" s="25">
        <f t="shared" si="12"/>
        <v>1.4577259475218658</v>
      </c>
      <c r="AO29" s="17">
        <v>5</v>
      </c>
      <c r="AP29" s="25">
        <f t="shared" si="13"/>
        <v>0.48590864917395532</v>
      </c>
      <c r="AQ29" s="17">
        <v>10</v>
      </c>
      <c r="AR29" s="25">
        <f t="shared" si="14"/>
        <v>0.97181729834791064</v>
      </c>
      <c r="AS29" s="17">
        <v>16</v>
      </c>
      <c r="AT29" s="25">
        <f t="shared" si="15"/>
        <v>1.554907677356657</v>
      </c>
      <c r="AU29" s="17">
        <v>1</v>
      </c>
      <c r="AV29" s="25">
        <f t="shared" si="16"/>
        <v>9.7181729834791064E-2</v>
      </c>
      <c r="AW29" s="17">
        <v>6</v>
      </c>
      <c r="AX29" s="25">
        <f t="shared" si="17"/>
        <v>0.58309037900874638</v>
      </c>
      <c r="AY29" s="17">
        <v>6</v>
      </c>
      <c r="AZ29" s="25">
        <f t="shared" si="18"/>
        <v>0.58309037900874638</v>
      </c>
      <c r="BA29" s="17">
        <v>34</v>
      </c>
      <c r="BB29" s="25">
        <f t="shared" si="19"/>
        <v>3.3041788143828961</v>
      </c>
      <c r="BC29" s="17" t="s">
        <v>314</v>
      </c>
      <c r="BD29" s="73">
        <v>2017</v>
      </c>
      <c r="BF29" s="26">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215.78321678321683</v>
      </c>
      <c r="BG29" s="26">
        <f>2*(Дума_партии[[#This Row],[5. Всероссийская политическая партия "ЕДИНАЯ РОССИЯ"]]-(AB$203/100)*Дума_партии[[#This Row],[Число действительных избирательных бюллетеней]])</f>
        <v>308.57000000000005</v>
      </c>
      <c r="BH29" s="26">
        <f>(Дума_партии[[#This Row],[Вброс]]+Дума_партии[[#This Row],[Перекладывание]])/2</f>
        <v>262.17660839160845</v>
      </c>
    </row>
    <row r="30" spans="1:60" s="17" customFormat="1" x14ac:dyDescent="0.4">
      <c r="A30" s="17" t="s">
        <v>49</v>
      </c>
      <c r="B30" s="17" t="s">
        <v>50</v>
      </c>
      <c r="C30" s="17" t="s">
        <v>51</v>
      </c>
      <c r="D30" s="17" t="s">
        <v>138</v>
      </c>
      <c r="E30" s="17" t="s">
        <v>158</v>
      </c>
      <c r="F30" s="24">
        <f t="shared" ca="1" si="0"/>
        <v>2061</v>
      </c>
      <c r="G30" s="17" t="s">
        <v>319</v>
      </c>
      <c r="H30" s="17" t="str">
        <f>LEFT(Дума_партии[[#This Row],[tik]],4)&amp;"."&amp;IF(ISNUMBER(VALUE(RIGHT(Дума_партии[[#This Row],[tik]]))),RIGHT(Дума_партии[[#This Row],[tik]]),"")</f>
        <v>Один.</v>
      </c>
      <c r="I30" s="17">
        <v>2212</v>
      </c>
      <c r="J30" s="24">
        <f>Дума_партии[[#This Row],[Число избирателей, внесенных в список избирателей на момент окончания голосования]]</f>
        <v>2212</v>
      </c>
      <c r="K30" s="17">
        <v>1800</v>
      </c>
      <c r="L30" s="17">
        <v>0</v>
      </c>
      <c r="M30" s="17">
        <v>1062</v>
      </c>
      <c r="N30" s="17">
        <v>21</v>
      </c>
      <c r="O30" s="25">
        <f t="shared" si="1"/>
        <v>48.960216998191683</v>
      </c>
      <c r="P30" s="25">
        <f t="shared" si="2"/>
        <v>0.94936708860759489</v>
      </c>
      <c r="Q30" s="17">
        <v>717</v>
      </c>
      <c r="R30" s="17">
        <v>21</v>
      </c>
      <c r="S30" s="17">
        <v>1061</v>
      </c>
      <c r="T30" s="17">
        <f t="shared" si="3"/>
        <v>1082</v>
      </c>
      <c r="U30" s="25">
        <f t="shared" si="4"/>
        <v>1.9408502772643252</v>
      </c>
      <c r="V30" s="17">
        <v>39</v>
      </c>
      <c r="W30" s="25">
        <f t="shared" si="5"/>
        <v>3.6044362292051755</v>
      </c>
      <c r="X30" s="17">
        <v>1043</v>
      </c>
      <c r="Y30" s="17">
        <v>0</v>
      </c>
      <c r="Z30" s="17">
        <v>0</v>
      </c>
      <c r="AA30" s="17">
        <v>217</v>
      </c>
      <c r="AB30" s="25">
        <f t="shared" si="6"/>
        <v>20.055452865064694</v>
      </c>
      <c r="AC30" s="17">
        <v>19</v>
      </c>
      <c r="AD30" s="25">
        <f t="shared" si="7"/>
        <v>1.756007393715342</v>
      </c>
      <c r="AE30" s="17">
        <v>64</v>
      </c>
      <c r="AF30" s="25">
        <f t="shared" si="8"/>
        <v>5.9149722735674679</v>
      </c>
      <c r="AG30" s="17">
        <v>79</v>
      </c>
      <c r="AH30" s="25">
        <f t="shared" si="9"/>
        <v>7.3012939001848425</v>
      </c>
      <c r="AI30" s="17">
        <v>498</v>
      </c>
      <c r="AJ30" s="25">
        <f t="shared" si="10"/>
        <v>46.02587800369686</v>
      </c>
      <c r="AK30" s="17">
        <v>57</v>
      </c>
      <c r="AL30" s="25">
        <f t="shared" si="11"/>
        <v>5.2680221811460255</v>
      </c>
      <c r="AM30" s="17">
        <v>23</v>
      </c>
      <c r="AN30" s="25">
        <f t="shared" si="12"/>
        <v>2.1256931608133085</v>
      </c>
      <c r="AO30" s="17">
        <v>3</v>
      </c>
      <c r="AP30" s="25">
        <f t="shared" si="13"/>
        <v>0.27726432532347506</v>
      </c>
      <c r="AQ30" s="17">
        <v>5</v>
      </c>
      <c r="AR30" s="25">
        <f t="shared" si="14"/>
        <v>0.46210720887245843</v>
      </c>
      <c r="AS30" s="17">
        <v>23</v>
      </c>
      <c r="AT30" s="25">
        <f t="shared" si="15"/>
        <v>2.1256931608133085</v>
      </c>
      <c r="AU30" s="17">
        <v>1</v>
      </c>
      <c r="AV30" s="25">
        <f t="shared" si="16"/>
        <v>9.2421441774491686E-2</v>
      </c>
      <c r="AW30" s="17">
        <v>9</v>
      </c>
      <c r="AX30" s="25">
        <f t="shared" si="17"/>
        <v>0.83179297597042512</v>
      </c>
      <c r="AY30" s="17">
        <v>11</v>
      </c>
      <c r="AZ30" s="25">
        <f t="shared" si="18"/>
        <v>1.0166358595194085</v>
      </c>
      <c r="BA30" s="17">
        <v>34</v>
      </c>
      <c r="BB30" s="25">
        <f t="shared" si="19"/>
        <v>3.142329020332717</v>
      </c>
      <c r="BC30" s="17" t="s">
        <v>314</v>
      </c>
      <c r="BD30" s="73">
        <v>2017</v>
      </c>
      <c r="BF30" s="26">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280.76223776223776</v>
      </c>
      <c r="BG30" s="26">
        <f>2*(Дума_партии[[#This Row],[5. Всероссийская политическая партия "ЕДИНАЯ РОССИЯ"]]-(AB$203/100)*Дума_партии[[#This Row],[Число действительных избирательных бюллетеней]])</f>
        <v>401.49</v>
      </c>
      <c r="BH30" s="26">
        <f>(Дума_партии[[#This Row],[Вброс]]+Дума_партии[[#This Row],[Перекладывание]])/2</f>
        <v>341.12611888111888</v>
      </c>
    </row>
    <row r="31" spans="1:60" s="17" customFormat="1" x14ac:dyDescent="0.4">
      <c r="A31" s="17" t="s">
        <v>49</v>
      </c>
      <c r="B31" s="17" t="s">
        <v>50</v>
      </c>
      <c r="C31" s="17" t="s">
        <v>51</v>
      </c>
      <c r="D31" s="17" t="s">
        <v>138</v>
      </c>
      <c r="E31" s="17" t="s">
        <v>159</v>
      </c>
      <c r="F31" s="24">
        <f t="shared" ca="1" si="0"/>
        <v>2063</v>
      </c>
      <c r="G31" s="17" t="s">
        <v>319</v>
      </c>
      <c r="H31" s="17" t="str">
        <f>LEFT(Дума_партии[[#This Row],[tik]],4)&amp;"."&amp;IF(ISNUMBER(VALUE(RIGHT(Дума_партии[[#This Row],[tik]]))),RIGHT(Дума_партии[[#This Row],[tik]]),"")</f>
        <v>Один.</v>
      </c>
      <c r="I31" s="17">
        <v>1758</v>
      </c>
      <c r="J31" s="24">
        <f>Дума_партии[[#This Row],[Число избирателей, внесенных в список избирателей на момент окончания голосования]]</f>
        <v>1758</v>
      </c>
      <c r="K31" s="17">
        <v>1500</v>
      </c>
      <c r="L31" s="17">
        <v>0</v>
      </c>
      <c r="M31" s="17">
        <v>624</v>
      </c>
      <c r="N31" s="17">
        <v>13</v>
      </c>
      <c r="O31" s="25">
        <f t="shared" si="1"/>
        <v>36.23435722411832</v>
      </c>
      <c r="P31" s="25">
        <f t="shared" si="2"/>
        <v>0.73947667804323092</v>
      </c>
      <c r="Q31" s="17">
        <v>863</v>
      </c>
      <c r="R31" s="17">
        <v>13</v>
      </c>
      <c r="S31" s="17">
        <v>624</v>
      </c>
      <c r="T31" s="17">
        <f t="shared" si="3"/>
        <v>637</v>
      </c>
      <c r="U31" s="25">
        <f t="shared" si="4"/>
        <v>2.0408163265306123</v>
      </c>
      <c r="V31" s="17">
        <v>25</v>
      </c>
      <c r="W31" s="25">
        <f t="shared" si="5"/>
        <v>3.9246467817896389</v>
      </c>
      <c r="X31" s="17">
        <v>612</v>
      </c>
      <c r="Y31" s="17">
        <v>0</v>
      </c>
      <c r="Z31" s="17">
        <v>0</v>
      </c>
      <c r="AA31" s="17">
        <v>168</v>
      </c>
      <c r="AB31" s="25">
        <f t="shared" si="6"/>
        <v>26.373626373626372</v>
      </c>
      <c r="AC31" s="17">
        <v>15</v>
      </c>
      <c r="AD31" s="25">
        <f t="shared" si="7"/>
        <v>2.3547880690737832</v>
      </c>
      <c r="AE31" s="17">
        <v>45</v>
      </c>
      <c r="AF31" s="25">
        <f t="shared" si="8"/>
        <v>7.0643642072213497</v>
      </c>
      <c r="AG31" s="17">
        <v>45</v>
      </c>
      <c r="AH31" s="25">
        <f t="shared" si="9"/>
        <v>7.0643642072213497</v>
      </c>
      <c r="AI31" s="17">
        <v>209</v>
      </c>
      <c r="AJ31" s="25">
        <f t="shared" si="10"/>
        <v>32.810047095761384</v>
      </c>
      <c r="AK31" s="17">
        <v>51</v>
      </c>
      <c r="AL31" s="25">
        <f t="shared" si="11"/>
        <v>8.0062794348508639</v>
      </c>
      <c r="AM31" s="17">
        <v>14</v>
      </c>
      <c r="AN31" s="25">
        <f t="shared" si="12"/>
        <v>2.197802197802198</v>
      </c>
      <c r="AO31" s="17">
        <v>5</v>
      </c>
      <c r="AP31" s="25">
        <f t="shared" si="13"/>
        <v>0.78492935635792782</v>
      </c>
      <c r="AQ31" s="17">
        <v>6</v>
      </c>
      <c r="AR31" s="25">
        <f t="shared" si="14"/>
        <v>0.9419152276295133</v>
      </c>
      <c r="AS31" s="17">
        <v>13</v>
      </c>
      <c r="AT31" s="25">
        <f t="shared" si="15"/>
        <v>2.0408163265306123</v>
      </c>
      <c r="AU31" s="17">
        <v>1</v>
      </c>
      <c r="AV31" s="25">
        <f t="shared" si="16"/>
        <v>0.15698587127158556</v>
      </c>
      <c r="AW31" s="17">
        <v>9</v>
      </c>
      <c r="AX31" s="25">
        <f t="shared" si="17"/>
        <v>1.4128728414442699</v>
      </c>
      <c r="AY31" s="17">
        <v>9</v>
      </c>
      <c r="AZ31" s="25">
        <f t="shared" si="18"/>
        <v>1.4128728414442699</v>
      </c>
      <c r="BA31" s="17">
        <v>22</v>
      </c>
      <c r="BB31" s="25">
        <f t="shared" si="19"/>
        <v>3.4536891679748822</v>
      </c>
      <c r="BC31" s="17" t="s">
        <v>314</v>
      </c>
      <c r="BD31" s="73">
        <v>2017</v>
      </c>
      <c r="BE31" s="17">
        <v>1</v>
      </c>
      <c r="BF31" s="26">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48.363636363636402</v>
      </c>
      <c r="BG31" s="26">
        <f>2*(Дума_партии[[#This Row],[5. Всероссийская политическая партия "ЕДИНАЯ РОССИЯ"]]-(AB$203/100)*Дума_партии[[#This Row],[Число действительных избирательных бюллетеней]])</f>
        <v>69.160000000000025</v>
      </c>
      <c r="BH31" s="26">
        <f>(Дума_партии[[#This Row],[Вброс]]+Дума_партии[[#This Row],[Перекладывание]])/2</f>
        <v>58.761818181818214</v>
      </c>
    </row>
    <row r="32" spans="1:60" s="17" customFormat="1" x14ac:dyDescent="0.4">
      <c r="A32" s="17" t="s">
        <v>49</v>
      </c>
      <c r="B32" s="17" t="s">
        <v>50</v>
      </c>
      <c r="C32" s="17" t="s">
        <v>51</v>
      </c>
      <c r="D32" s="17" t="s">
        <v>138</v>
      </c>
      <c r="E32" s="17" t="s">
        <v>160</v>
      </c>
      <c r="F32" s="24">
        <f t="shared" ca="1" si="0"/>
        <v>2064</v>
      </c>
      <c r="G32" s="17" t="s">
        <v>319</v>
      </c>
      <c r="H32" s="17" t="str">
        <f>LEFT(Дума_партии[[#This Row],[tik]],4)&amp;"."&amp;IF(ISNUMBER(VALUE(RIGHT(Дума_партии[[#This Row],[tik]]))),RIGHT(Дума_партии[[#This Row],[tik]]),"")</f>
        <v>Один.</v>
      </c>
      <c r="I32" s="17">
        <v>1121</v>
      </c>
      <c r="J32" s="24">
        <f>Дума_партии[[#This Row],[Число избирателей, внесенных в список избирателей на момент окончания голосования]]</f>
        <v>1121</v>
      </c>
      <c r="K32" s="17">
        <v>1000</v>
      </c>
      <c r="L32" s="17">
        <v>0</v>
      </c>
      <c r="M32" s="17">
        <v>432</v>
      </c>
      <c r="N32" s="17">
        <v>34</v>
      </c>
      <c r="O32" s="25">
        <f t="shared" si="1"/>
        <v>41.570026761819804</v>
      </c>
      <c r="P32" s="25">
        <f t="shared" si="2"/>
        <v>3.0330062444246209</v>
      </c>
      <c r="Q32" s="17">
        <v>534</v>
      </c>
      <c r="R32" s="17">
        <v>34</v>
      </c>
      <c r="S32" s="17">
        <v>432</v>
      </c>
      <c r="T32" s="17">
        <f t="shared" si="3"/>
        <v>466</v>
      </c>
      <c r="U32" s="25">
        <f t="shared" si="4"/>
        <v>7.296137339055794</v>
      </c>
      <c r="V32" s="17">
        <v>17</v>
      </c>
      <c r="W32" s="25">
        <f t="shared" si="5"/>
        <v>3.648068669527897</v>
      </c>
      <c r="X32" s="17">
        <v>449</v>
      </c>
      <c r="Y32" s="17">
        <v>0</v>
      </c>
      <c r="Z32" s="17">
        <v>0</v>
      </c>
      <c r="AA32" s="17">
        <v>128</v>
      </c>
      <c r="AB32" s="25">
        <f t="shared" si="6"/>
        <v>27.467811158798284</v>
      </c>
      <c r="AC32" s="17">
        <v>7</v>
      </c>
      <c r="AD32" s="25">
        <f t="shared" si="7"/>
        <v>1.502145922746781</v>
      </c>
      <c r="AE32" s="17">
        <v>38</v>
      </c>
      <c r="AF32" s="25">
        <f t="shared" si="8"/>
        <v>8.1545064377682408</v>
      </c>
      <c r="AG32" s="17">
        <v>40</v>
      </c>
      <c r="AH32" s="25">
        <f t="shared" si="9"/>
        <v>8.5836909871244629</v>
      </c>
      <c r="AI32" s="17">
        <v>129</v>
      </c>
      <c r="AJ32" s="25">
        <f t="shared" si="10"/>
        <v>27.682403433476395</v>
      </c>
      <c r="AK32" s="17">
        <v>33</v>
      </c>
      <c r="AL32" s="25">
        <f t="shared" si="11"/>
        <v>7.0815450643776821</v>
      </c>
      <c r="AM32" s="17">
        <v>14</v>
      </c>
      <c r="AN32" s="25">
        <f t="shared" si="12"/>
        <v>3.0042918454935621</v>
      </c>
      <c r="AO32" s="17">
        <v>1</v>
      </c>
      <c r="AP32" s="25">
        <f t="shared" si="13"/>
        <v>0.21459227467811159</v>
      </c>
      <c r="AQ32" s="17">
        <v>7</v>
      </c>
      <c r="AR32" s="25">
        <f t="shared" si="14"/>
        <v>1.502145922746781</v>
      </c>
      <c r="AS32" s="17">
        <v>12</v>
      </c>
      <c r="AT32" s="25">
        <f t="shared" si="15"/>
        <v>2.5751072961373391</v>
      </c>
      <c r="AU32" s="17">
        <v>1</v>
      </c>
      <c r="AV32" s="25">
        <f t="shared" si="16"/>
        <v>0.21459227467811159</v>
      </c>
      <c r="AW32" s="17">
        <v>5</v>
      </c>
      <c r="AX32" s="25">
        <f t="shared" si="17"/>
        <v>1.0729613733905579</v>
      </c>
      <c r="AY32" s="17">
        <v>2</v>
      </c>
      <c r="AZ32" s="25">
        <f t="shared" si="18"/>
        <v>0.42918454935622319</v>
      </c>
      <c r="BA32" s="17">
        <v>32</v>
      </c>
      <c r="BB32" s="25">
        <f t="shared" si="19"/>
        <v>6.866952789699571</v>
      </c>
      <c r="BC32" s="17" t="s">
        <v>314</v>
      </c>
      <c r="BD32" s="73">
        <v>2017</v>
      </c>
      <c r="BF32" s="26">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1.4475524475524679</v>
      </c>
      <c r="BG32" s="26">
        <f>2*(Дума_партии[[#This Row],[5. Всероссийская политическая партия "ЕДИНАЯ РОССИЯ"]]-(AB$203/100)*Дума_партии[[#This Row],[Число действительных избирательных бюллетеней]])</f>
        <v>2.0700000000000216</v>
      </c>
      <c r="BH32" s="26">
        <f>(Дума_партии[[#This Row],[Вброс]]+Дума_партии[[#This Row],[Перекладывание]])/2</f>
        <v>1.7587762237762448</v>
      </c>
    </row>
    <row r="33" spans="1:60" s="17" customFormat="1" x14ac:dyDescent="0.4">
      <c r="A33" s="17" t="s">
        <v>49</v>
      </c>
      <c r="B33" s="17" t="s">
        <v>50</v>
      </c>
      <c r="C33" s="17" t="s">
        <v>51</v>
      </c>
      <c r="D33" s="17" t="s">
        <v>138</v>
      </c>
      <c r="E33" s="17" t="s">
        <v>161</v>
      </c>
      <c r="F33" s="24">
        <f t="shared" ca="1" si="0"/>
        <v>2065</v>
      </c>
      <c r="G33" s="17" t="s">
        <v>319</v>
      </c>
      <c r="H33" s="17" t="str">
        <f>LEFT(Дума_партии[[#This Row],[tik]],4)&amp;"."&amp;IF(ISNUMBER(VALUE(RIGHT(Дума_партии[[#This Row],[tik]]))),RIGHT(Дума_партии[[#This Row],[tik]]),"")</f>
        <v>Один.</v>
      </c>
      <c r="I33" s="17">
        <v>2240</v>
      </c>
      <c r="J33" s="24">
        <f>Дума_партии[[#This Row],[Число избирателей, внесенных в список избирателей на момент окончания голосования]]</f>
        <v>2240</v>
      </c>
      <c r="K33" s="17">
        <v>2000</v>
      </c>
      <c r="L33" s="17">
        <v>0</v>
      </c>
      <c r="M33" s="17">
        <v>654</v>
      </c>
      <c r="N33" s="17">
        <v>27</v>
      </c>
      <c r="O33" s="25">
        <f t="shared" si="1"/>
        <v>30.401785714285715</v>
      </c>
      <c r="P33" s="25">
        <f t="shared" si="2"/>
        <v>1.2053571428571428</v>
      </c>
      <c r="Q33" s="17">
        <v>1319</v>
      </c>
      <c r="R33" s="17">
        <v>27</v>
      </c>
      <c r="S33" s="17">
        <v>654</v>
      </c>
      <c r="T33" s="17">
        <f t="shared" si="3"/>
        <v>681</v>
      </c>
      <c r="U33" s="25">
        <f t="shared" si="4"/>
        <v>3.9647577092511015</v>
      </c>
      <c r="V33" s="17">
        <v>23</v>
      </c>
      <c r="W33" s="25">
        <f t="shared" si="5"/>
        <v>3.3773861967694567</v>
      </c>
      <c r="X33" s="17">
        <v>658</v>
      </c>
      <c r="Y33" s="17">
        <v>0</v>
      </c>
      <c r="Z33" s="17">
        <v>0</v>
      </c>
      <c r="AA33" s="17">
        <v>196</v>
      </c>
      <c r="AB33" s="25">
        <f t="shared" si="6"/>
        <v>28.781204111600587</v>
      </c>
      <c r="AC33" s="17">
        <v>10</v>
      </c>
      <c r="AD33" s="25">
        <f t="shared" si="7"/>
        <v>1.4684287812041117</v>
      </c>
      <c r="AE33" s="17">
        <v>57</v>
      </c>
      <c r="AF33" s="25">
        <f t="shared" si="8"/>
        <v>8.3700440528634363</v>
      </c>
      <c r="AG33" s="17">
        <v>51</v>
      </c>
      <c r="AH33" s="25">
        <f t="shared" si="9"/>
        <v>7.4889867841409687</v>
      </c>
      <c r="AI33" s="17">
        <v>183</v>
      </c>
      <c r="AJ33" s="25">
        <f t="shared" si="10"/>
        <v>26.872246696035241</v>
      </c>
      <c r="AK33" s="17">
        <v>65</v>
      </c>
      <c r="AL33" s="25">
        <f t="shared" si="11"/>
        <v>9.5447870778267259</v>
      </c>
      <c r="AM33" s="17">
        <v>21</v>
      </c>
      <c r="AN33" s="25">
        <f t="shared" si="12"/>
        <v>3.0837004405286343</v>
      </c>
      <c r="AO33" s="17">
        <v>4</v>
      </c>
      <c r="AP33" s="25">
        <f t="shared" si="13"/>
        <v>0.58737151248164465</v>
      </c>
      <c r="AQ33" s="17">
        <v>7</v>
      </c>
      <c r="AR33" s="25">
        <f t="shared" si="14"/>
        <v>1.0279001468428781</v>
      </c>
      <c r="AS33" s="17">
        <v>19</v>
      </c>
      <c r="AT33" s="25">
        <f t="shared" si="15"/>
        <v>2.790014684287812</v>
      </c>
      <c r="AU33" s="17">
        <v>2</v>
      </c>
      <c r="AV33" s="25">
        <f t="shared" si="16"/>
        <v>0.29368575624082233</v>
      </c>
      <c r="AW33" s="17">
        <v>3</v>
      </c>
      <c r="AX33" s="25">
        <f t="shared" si="17"/>
        <v>0.44052863436123346</v>
      </c>
      <c r="AY33" s="17">
        <v>15</v>
      </c>
      <c r="AZ33" s="25">
        <f t="shared" si="18"/>
        <v>2.2026431718061672</v>
      </c>
      <c r="BA33" s="17">
        <v>25</v>
      </c>
      <c r="BB33" s="25">
        <f t="shared" si="19"/>
        <v>3.6710719530102791</v>
      </c>
      <c r="BC33" s="17" t="s">
        <v>314</v>
      </c>
      <c r="BD33" s="73">
        <v>2017</v>
      </c>
      <c r="BF33" s="26">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-6.335664335664319</v>
      </c>
      <c r="BG33" s="26">
        <f>2*(Дума_партии[[#This Row],[5. Всероссийская политическая партия "ЕДИНАЯ РОССИЯ"]]-(AB$203/100)*Дума_партии[[#This Row],[Число действительных избирательных бюллетеней]])</f>
        <v>-9.0599999999999454</v>
      </c>
      <c r="BH33" s="26">
        <f>(Дума_партии[[#This Row],[Вброс]]+Дума_партии[[#This Row],[Перекладывание]])/2</f>
        <v>-7.6978321678321322</v>
      </c>
    </row>
    <row r="34" spans="1:60" s="17" customFormat="1" x14ac:dyDescent="0.4">
      <c r="A34" s="17" t="s">
        <v>49</v>
      </c>
      <c r="B34" s="17" t="s">
        <v>50</v>
      </c>
      <c r="C34" s="17" t="s">
        <v>51</v>
      </c>
      <c r="D34" s="17" t="s">
        <v>138</v>
      </c>
      <c r="E34" s="17" t="s">
        <v>162</v>
      </c>
      <c r="F34" s="24">
        <f t="shared" ref="F34:F65" ca="1" si="20">SUMPRODUCT(MID(0&amp;E34, LARGE(INDEX(ISNUMBER(--MID(E34, ROW(INDIRECT("1:"&amp;LEN(E34))), 1)) * ROW(INDIRECT("1:"&amp;LEN(E34))), 0), ROW(INDIRECT("1:"&amp;LEN(E34))))+1, 1) * 10^ROW(INDIRECT("1:"&amp;LEN(E34)))/10)</f>
        <v>2067</v>
      </c>
      <c r="G34" s="17" t="s">
        <v>319</v>
      </c>
      <c r="H34" s="17" t="str">
        <f>LEFT(Дума_партии[[#This Row],[tik]],4)&amp;"."&amp;IF(ISNUMBER(VALUE(RIGHT(Дума_партии[[#This Row],[tik]]))),RIGHT(Дума_партии[[#This Row],[tik]]),"")</f>
        <v>Один.</v>
      </c>
      <c r="I34" s="17">
        <v>1296</v>
      </c>
      <c r="J34" s="24">
        <f>Дума_партии[[#This Row],[Число избирателей, внесенных в список избирателей на момент окончания голосования]]</f>
        <v>1296</v>
      </c>
      <c r="K34" s="17">
        <v>1000</v>
      </c>
      <c r="L34" s="17">
        <v>0</v>
      </c>
      <c r="M34" s="17">
        <v>363</v>
      </c>
      <c r="N34" s="17">
        <v>161</v>
      </c>
      <c r="O34" s="25">
        <f t="shared" ref="O34:O65" si="21">100*(M34+N34)/I34</f>
        <v>40.432098765432102</v>
      </c>
      <c r="P34" s="25">
        <f t="shared" ref="P34:P65" si="22">100*N34/I34</f>
        <v>12.42283950617284</v>
      </c>
      <c r="Q34" s="17">
        <v>476</v>
      </c>
      <c r="R34" s="17">
        <v>161</v>
      </c>
      <c r="S34" s="17">
        <v>363</v>
      </c>
      <c r="T34" s="17">
        <f t="shared" ref="T34:T65" si="23">R34+S34</f>
        <v>524</v>
      </c>
      <c r="U34" s="25">
        <f t="shared" ref="U34:U65" si="24">100*R34/T34</f>
        <v>30.725190839694658</v>
      </c>
      <c r="V34" s="17">
        <v>9</v>
      </c>
      <c r="W34" s="25">
        <f t="shared" ref="W34:W65" si="25">100*V34/T34</f>
        <v>1.717557251908397</v>
      </c>
      <c r="X34" s="17">
        <v>515</v>
      </c>
      <c r="Y34" s="17">
        <v>0</v>
      </c>
      <c r="Z34" s="17">
        <v>0</v>
      </c>
      <c r="AA34" s="17">
        <v>110</v>
      </c>
      <c r="AB34" s="25">
        <f t="shared" ref="AB34:AB65" si="26">100*AA34/$T34</f>
        <v>20.992366412213741</v>
      </c>
      <c r="AC34" s="17">
        <v>4</v>
      </c>
      <c r="AD34" s="25">
        <f t="shared" ref="AD34:AD65" si="27">100*AC34/$T34</f>
        <v>0.76335877862595425</v>
      </c>
      <c r="AE34" s="17">
        <v>25</v>
      </c>
      <c r="AF34" s="25">
        <f t="shared" ref="AF34:AF65" si="28">100*AE34/$T34</f>
        <v>4.770992366412214</v>
      </c>
      <c r="AG34" s="17">
        <v>35</v>
      </c>
      <c r="AH34" s="25">
        <f t="shared" ref="AH34:AH65" si="29">100*AG34/$T34</f>
        <v>6.6793893129770989</v>
      </c>
      <c r="AI34" s="17">
        <v>224</v>
      </c>
      <c r="AJ34" s="25">
        <f t="shared" ref="AJ34:AJ65" si="30">100*AI34/$T34</f>
        <v>42.748091603053432</v>
      </c>
      <c r="AK34" s="17">
        <v>46</v>
      </c>
      <c r="AL34" s="25">
        <f t="shared" ref="AL34:AL65" si="31">100*AK34/$T34</f>
        <v>8.778625954198473</v>
      </c>
      <c r="AM34" s="17">
        <v>13</v>
      </c>
      <c r="AN34" s="25">
        <f t="shared" ref="AN34:AN65" si="32">100*AM34/$T34</f>
        <v>2.4809160305343512</v>
      </c>
      <c r="AO34" s="17">
        <v>2</v>
      </c>
      <c r="AP34" s="25">
        <f t="shared" ref="AP34:AP65" si="33">100*AO34/$T34</f>
        <v>0.38167938931297712</v>
      </c>
      <c r="AQ34" s="17">
        <v>4</v>
      </c>
      <c r="AR34" s="25">
        <f t="shared" ref="AR34:AR65" si="34">100*AQ34/$T34</f>
        <v>0.76335877862595425</v>
      </c>
      <c r="AS34" s="17">
        <v>12</v>
      </c>
      <c r="AT34" s="25">
        <f t="shared" ref="AT34:AT65" si="35">100*AS34/$T34</f>
        <v>2.2900763358778624</v>
      </c>
      <c r="AU34" s="17">
        <v>1</v>
      </c>
      <c r="AV34" s="25">
        <f t="shared" ref="AV34:AV65" si="36">100*AU34/$T34</f>
        <v>0.19083969465648856</v>
      </c>
      <c r="AW34" s="17">
        <v>5</v>
      </c>
      <c r="AX34" s="25">
        <f t="shared" ref="AX34:AX65" si="37">100*AW34/$T34</f>
        <v>0.95419847328244278</v>
      </c>
      <c r="AY34" s="17">
        <v>11</v>
      </c>
      <c r="AZ34" s="25">
        <f t="shared" ref="AZ34:AZ65" si="38">100*AY34/$T34</f>
        <v>2.0992366412213741</v>
      </c>
      <c r="BA34" s="17">
        <v>23</v>
      </c>
      <c r="BB34" s="25">
        <f t="shared" ref="BB34:BB65" si="39">100*BA34/$T34</f>
        <v>4.3893129770992365</v>
      </c>
      <c r="BC34" s="17" t="s">
        <v>314</v>
      </c>
      <c r="BD34" s="73">
        <v>2017</v>
      </c>
      <c r="BF34" s="26">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108.00699300699303</v>
      </c>
      <c r="BG34" s="26">
        <f>2*(Дума_партии[[#This Row],[5. Всероссийская политическая партия "ЕДИНАЯ РОССИЯ"]]-(AB$203/100)*Дума_партии[[#This Row],[Число действительных избирательных бюллетеней]])</f>
        <v>154.45000000000005</v>
      </c>
      <c r="BH34" s="26">
        <f>(Дума_партии[[#This Row],[Вброс]]+Дума_партии[[#This Row],[Перекладывание]])/2</f>
        <v>131.22849650349653</v>
      </c>
    </row>
    <row r="35" spans="1:60" s="17" customFormat="1" x14ac:dyDescent="0.4">
      <c r="A35" s="17" t="s">
        <v>49</v>
      </c>
      <c r="B35" s="17" t="s">
        <v>50</v>
      </c>
      <c r="C35" s="17" t="s">
        <v>51</v>
      </c>
      <c r="D35" s="17" t="s">
        <v>138</v>
      </c>
      <c r="E35" s="17" t="s">
        <v>163</v>
      </c>
      <c r="F35" s="24">
        <f t="shared" ca="1" si="20"/>
        <v>2068</v>
      </c>
      <c r="G35" s="17" t="s">
        <v>319</v>
      </c>
      <c r="H35" s="17" t="str">
        <f>LEFT(Дума_партии[[#This Row],[tik]],4)&amp;"."&amp;IF(ISNUMBER(VALUE(RIGHT(Дума_партии[[#This Row],[tik]]))),RIGHT(Дума_партии[[#This Row],[tik]]),"")</f>
        <v>Один.</v>
      </c>
      <c r="I35" s="17">
        <v>571</v>
      </c>
      <c r="J35" s="24">
        <f>Дума_партии[[#This Row],[Число избирателей, внесенных в список избирателей на момент окончания голосования]]</f>
        <v>571</v>
      </c>
      <c r="K35" s="17">
        <v>750</v>
      </c>
      <c r="L35" s="17">
        <v>0</v>
      </c>
      <c r="M35" s="17">
        <v>282</v>
      </c>
      <c r="N35" s="17">
        <v>262</v>
      </c>
      <c r="O35" s="25">
        <f t="shared" si="21"/>
        <v>95.27145359019265</v>
      </c>
      <c r="P35" s="25">
        <f t="shared" si="22"/>
        <v>45.884413309982484</v>
      </c>
      <c r="Q35" s="17">
        <v>206</v>
      </c>
      <c r="R35" s="17">
        <v>261</v>
      </c>
      <c r="S35" s="17">
        <v>282</v>
      </c>
      <c r="T35" s="17">
        <f t="shared" si="23"/>
        <v>543</v>
      </c>
      <c r="U35" s="25">
        <f t="shared" si="24"/>
        <v>48.066298342541437</v>
      </c>
      <c r="V35" s="17">
        <v>19</v>
      </c>
      <c r="W35" s="25">
        <f t="shared" si="25"/>
        <v>3.4990791896869244</v>
      </c>
      <c r="X35" s="17">
        <v>524</v>
      </c>
      <c r="Y35" s="17">
        <v>0</v>
      </c>
      <c r="Z35" s="17">
        <v>0</v>
      </c>
      <c r="AA35" s="17">
        <v>108</v>
      </c>
      <c r="AB35" s="25">
        <f t="shared" si="26"/>
        <v>19.88950276243094</v>
      </c>
      <c r="AC35" s="17">
        <v>6</v>
      </c>
      <c r="AD35" s="25">
        <f t="shared" si="27"/>
        <v>1.1049723756906078</v>
      </c>
      <c r="AE35" s="17">
        <v>48</v>
      </c>
      <c r="AF35" s="25">
        <f t="shared" si="28"/>
        <v>8.8397790055248624</v>
      </c>
      <c r="AG35" s="17">
        <v>42</v>
      </c>
      <c r="AH35" s="25">
        <f t="shared" si="29"/>
        <v>7.7348066298342539</v>
      </c>
      <c r="AI35" s="17">
        <v>224</v>
      </c>
      <c r="AJ35" s="25">
        <f t="shared" si="30"/>
        <v>41.25230202578269</v>
      </c>
      <c r="AK35" s="17">
        <v>32</v>
      </c>
      <c r="AL35" s="25">
        <f t="shared" si="31"/>
        <v>5.8931860036832413</v>
      </c>
      <c r="AM35" s="17">
        <v>10</v>
      </c>
      <c r="AN35" s="25">
        <f t="shared" si="32"/>
        <v>1.8416206261510129</v>
      </c>
      <c r="AO35" s="17">
        <v>4</v>
      </c>
      <c r="AP35" s="25">
        <f t="shared" si="33"/>
        <v>0.73664825046040516</v>
      </c>
      <c r="AQ35" s="17">
        <v>6</v>
      </c>
      <c r="AR35" s="25">
        <f t="shared" si="34"/>
        <v>1.1049723756906078</v>
      </c>
      <c r="AS35" s="17">
        <v>17</v>
      </c>
      <c r="AT35" s="25">
        <f t="shared" si="35"/>
        <v>3.1307550644567219</v>
      </c>
      <c r="AU35" s="17">
        <v>2</v>
      </c>
      <c r="AV35" s="25">
        <f t="shared" si="36"/>
        <v>0.36832412523020258</v>
      </c>
      <c r="AW35" s="17">
        <v>5</v>
      </c>
      <c r="AX35" s="25">
        <f t="shared" si="37"/>
        <v>0.92081031307550643</v>
      </c>
      <c r="AY35" s="17">
        <v>2</v>
      </c>
      <c r="AZ35" s="25">
        <f t="shared" si="38"/>
        <v>0.36832412523020258</v>
      </c>
      <c r="BA35" s="17">
        <v>18</v>
      </c>
      <c r="BB35" s="25">
        <f t="shared" si="39"/>
        <v>3.3149171270718232</v>
      </c>
      <c r="BC35" s="17" t="s">
        <v>314</v>
      </c>
      <c r="BD35" s="73">
        <v>2017</v>
      </c>
      <c r="BF35" s="26">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104.41958041958044</v>
      </c>
      <c r="BG35" s="26">
        <f>2*(Дума_партии[[#This Row],[5. Всероссийская политическая партия "ЕДИНАЯ РОССИЯ"]]-(AB$203/100)*Дума_партии[[#This Row],[Число действительных избирательных бюллетеней]])</f>
        <v>149.32000000000005</v>
      </c>
      <c r="BH35" s="26">
        <f>(Дума_партии[[#This Row],[Вброс]]+Дума_партии[[#This Row],[Перекладывание]])/2</f>
        <v>126.86979020979024</v>
      </c>
    </row>
    <row r="36" spans="1:60" s="17" customFormat="1" x14ac:dyDescent="0.4">
      <c r="A36" s="17" t="s">
        <v>49</v>
      </c>
      <c r="B36" s="17" t="s">
        <v>50</v>
      </c>
      <c r="C36" s="17" t="s">
        <v>51</v>
      </c>
      <c r="D36" s="17" t="s">
        <v>138</v>
      </c>
      <c r="E36" s="17" t="s">
        <v>164</v>
      </c>
      <c r="F36" s="24">
        <f t="shared" ca="1" si="20"/>
        <v>2069</v>
      </c>
      <c r="G36" s="17" t="s">
        <v>352</v>
      </c>
      <c r="H36" s="17" t="str">
        <f>LEFT(Дума_партии[[#This Row],[tik]],4)&amp;"."&amp;IF(ISNUMBER(VALUE(RIGHT(Дума_партии[[#This Row],[tik]]))),RIGHT(Дума_партии[[#This Row],[tik]]),"")</f>
        <v>Один.</v>
      </c>
      <c r="I36" s="17">
        <v>965</v>
      </c>
      <c r="J36" s="24">
        <f>Дума_партии[[#This Row],[Число избирателей, внесенных в список избирателей на момент окончания голосования]]</f>
        <v>965</v>
      </c>
      <c r="K36" s="17">
        <v>850</v>
      </c>
      <c r="L36" s="17">
        <v>0</v>
      </c>
      <c r="M36" s="17">
        <v>278</v>
      </c>
      <c r="N36" s="17">
        <v>141</v>
      </c>
      <c r="O36" s="25">
        <f t="shared" si="21"/>
        <v>43.419689119170982</v>
      </c>
      <c r="P36" s="25">
        <f t="shared" si="22"/>
        <v>14.61139896373057</v>
      </c>
      <c r="Q36" s="17">
        <v>431</v>
      </c>
      <c r="R36" s="17">
        <v>141</v>
      </c>
      <c r="S36" s="17">
        <v>278</v>
      </c>
      <c r="T36" s="17">
        <f t="shared" si="23"/>
        <v>419</v>
      </c>
      <c r="U36" s="25">
        <f t="shared" si="24"/>
        <v>33.651551312649161</v>
      </c>
      <c r="V36" s="17">
        <v>3</v>
      </c>
      <c r="W36" s="25">
        <f t="shared" si="25"/>
        <v>0.71599045346062051</v>
      </c>
      <c r="X36" s="17">
        <v>416</v>
      </c>
      <c r="Y36" s="17">
        <v>0</v>
      </c>
      <c r="Z36" s="17">
        <v>0</v>
      </c>
      <c r="AA36" s="17">
        <v>64</v>
      </c>
      <c r="AB36" s="25">
        <f t="shared" si="26"/>
        <v>15.274463007159904</v>
      </c>
      <c r="AC36" s="17">
        <v>5</v>
      </c>
      <c r="AD36" s="25">
        <f t="shared" si="27"/>
        <v>1.1933174224343674</v>
      </c>
      <c r="AE36" s="17">
        <v>17</v>
      </c>
      <c r="AF36" s="25">
        <f t="shared" si="28"/>
        <v>4.0572792362768499</v>
      </c>
      <c r="AG36" s="17">
        <v>18</v>
      </c>
      <c r="AH36" s="25">
        <f t="shared" si="29"/>
        <v>4.2959427207637235</v>
      </c>
      <c r="AI36" s="17">
        <v>265</v>
      </c>
      <c r="AJ36" s="25">
        <f t="shared" si="30"/>
        <v>63.245823389021481</v>
      </c>
      <c r="AK36" s="17">
        <v>24</v>
      </c>
      <c r="AL36" s="25">
        <f t="shared" si="31"/>
        <v>5.7279236276849641</v>
      </c>
      <c r="AM36" s="17">
        <v>3</v>
      </c>
      <c r="AN36" s="25">
        <f t="shared" si="32"/>
        <v>0.71599045346062051</v>
      </c>
      <c r="AO36" s="17">
        <v>0</v>
      </c>
      <c r="AP36" s="25">
        <f t="shared" si="33"/>
        <v>0</v>
      </c>
      <c r="AQ36" s="17">
        <v>6</v>
      </c>
      <c r="AR36" s="25">
        <f t="shared" si="34"/>
        <v>1.431980906921241</v>
      </c>
      <c r="AS36" s="17">
        <v>3</v>
      </c>
      <c r="AT36" s="25">
        <f t="shared" si="35"/>
        <v>0.71599045346062051</v>
      </c>
      <c r="AU36" s="17">
        <v>1</v>
      </c>
      <c r="AV36" s="25">
        <f t="shared" si="36"/>
        <v>0.2386634844868735</v>
      </c>
      <c r="AW36" s="17">
        <v>2</v>
      </c>
      <c r="AX36" s="25">
        <f t="shared" si="37"/>
        <v>0.47732696897374699</v>
      </c>
      <c r="AY36" s="17">
        <v>3</v>
      </c>
      <c r="AZ36" s="25">
        <f t="shared" si="38"/>
        <v>0.71599045346062051</v>
      </c>
      <c r="BA36" s="17">
        <v>5</v>
      </c>
      <c r="BB36" s="25">
        <f t="shared" si="39"/>
        <v>1.1933174224343674</v>
      </c>
      <c r="BC36" s="17" t="s">
        <v>314</v>
      </c>
      <c r="BD36" s="17" t="s">
        <v>455</v>
      </c>
      <c r="BF36" s="26">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204.81118881118883</v>
      </c>
      <c r="BG36" s="26">
        <f>2*(Дума_партии[[#This Row],[5. Всероссийская политическая партия "ЕДИНАЯ РОССИЯ"]]-(AB$203/100)*Дума_партии[[#This Row],[Число действительных избирательных бюллетеней]])</f>
        <v>292.88</v>
      </c>
      <c r="BH36" s="26">
        <f>(Дума_партии[[#This Row],[Вброс]]+Дума_партии[[#This Row],[Перекладывание]])/2</f>
        <v>248.8455944055944</v>
      </c>
    </row>
    <row r="37" spans="1:60" x14ac:dyDescent="0.4">
      <c r="A37" t="s">
        <v>49</v>
      </c>
      <c r="B37" t="s">
        <v>50</v>
      </c>
      <c r="C37" t="s">
        <v>51</v>
      </c>
      <c r="D37" t="s">
        <v>138</v>
      </c>
      <c r="E37" t="s">
        <v>165</v>
      </c>
      <c r="F37" s="8">
        <f t="shared" ca="1" si="20"/>
        <v>2074</v>
      </c>
      <c r="G37" t="s">
        <v>320</v>
      </c>
      <c r="H37" s="1" t="str">
        <f>LEFT(Дума_партии[[#This Row],[tik]],4)&amp;"."&amp;IF(ISNUMBER(VALUE(RIGHT(Дума_партии[[#This Row],[tik]]))),RIGHT(Дума_партии[[#This Row],[tik]]),"")</f>
        <v>Один.</v>
      </c>
      <c r="I37">
        <v>2625</v>
      </c>
      <c r="J37" s="8">
        <f>Дума_партии[[#This Row],[Число избирателей, внесенных в список избирателей на момент окончания голосования]]</f>
        <v>2625</v>
      </c>
      <c r="K37">
        <v>2000</v>
      </c>
      <c r="L37">
        <v>0</v>
      </c>
      <c r="M37">
        <v>941</v>
      </c>
      <c r="N37">
        <v>665</v>
      </c>
      <c r="O37" s="3">
        <f t="shared" si="21"/>
        <v>61.180952380952384</v>
      </c>
      <c r="P37" s="3">
        <f t="shared" si="22"/>
        <v>25.333333333333332</v>
      </c>
      <c r="Q37">
        <v>394</v>
      </c>
      <c r="R37">
        <v>665</v>
      </c>
      <c r="S37">
        <v>941</v>
      </c>
      <c r="T37" s="1">
        <f t="shared" si="23"/>
        <v>1606</v>
      </c>
      <c r="U37" s="3">
        <f t="shared" si="24"/>
        <v>41.407222914072229</v>
      </c>
      <c r="V37">
        <v>42</v>
      </c>
      <c r="W37" s="3">
        <f t="shared" si="25"/>
        <v>2.6151930261519301</v>
      </c>
      <c r="X37">
        <v>1564</v>
      </c>
      <c r="Y37">
        <v>0</v>
      </c>
      <c r="Z37">
        <v>0</v>
      </c>
      <c r="AA37">
        <v>258</v>
      </c>
      <c r="AB37" s="3">
        <f t="shared" si="26"/>
        <v>16.06475716064757</v>
      </c>
      <c r="AC37">
        <v>15</v>
      </c>
      <c r="AD37" s="3">
        <f t="shared" si="27"/>
        <v>0.93399750933997505</v>
      </c>
      <c r="AE37">
        <v>86</v>
      </c>
      <c r="AF37" s="3">
        <f t="shared" si="28"/>
        <v>5.3549190535491906</v>
      </c>
      <c r="AG37">
        <v>82</v>
      </c>
      <c r="AH37" s="3">
        <f t="shared" si="29"/>
        <v>5.1058530510585305</v>
      </c>
      <c r="AI37">
        <v>899</v>
      </c>
      <c r="AJ37" s="3">
        <f t="shared" si="30"/>
        <v>55.977584059775843</v>
      </c>
      <c r="AK37">
        <v>80</v>
      </c>
      <c r="AL37" s="3">
        <f t="shared" si="31"/>
        <v>4.9813200498132009</v>
      </c>
      <c r="AM37">
        <v>26</v>
      </c>
      <c r="AN37" s="3">
        <f t="shared" si="32"/>
        <v>1.6189290161892902</v>
      </c>
      <c r="AO37">
        <v>11</v>
      </c>
      <c r="AP37" s="3">
        <f t="shared" si="33"/>
        <v>0.68493150684931503</v>
      </c>
      <c r="AQ37">
        <v>12</v>
      </c>
      <c r="AR37" s="3">
        <f t="shared" si="34"/>
        <v>0.74719800747198006</v>
      </c>
      <c r="AS37">
        <v>22</v>
      </c>
      <c r="AT37" s="3">
        <f t="shared" si="35"/>
        <v>1.3698630136986301</v>
      </c>
      <c r="AU37">
        <v>0</v>
      </c>
      <c r="AV37" s="3">
        <f t="shared" si="36"/>
        <v>0</v>
      </c>
      <c r="AW37">
        <v>14</v>
      </c>
      <c r="AX37" s="3">
        <f t="shared" si="37"/>
        <v>0.87173100871731013</v>
      </c>
      <c r="AY37">
        <v>6</v>
      </c>
      <c r="AZ37" s="3">
        <f t="shared" si="38"/>
        <v>0.37359900373599003</v>
      </c>
      <c r="BA37">
        <v>53</v>
      </c>
      <c r="BB37" s="3">
        <f t="shared" si="39"/>
        <v>3.3001245330012452</v>
      </c>
      <c r="BC37" t="s">
        <v>314</v>
      </c>
      <c r="BD37" s="72">
        <v>2017</v>
      </c>
      <c r="BE37" s="1"/>
      <c r="BF37"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633.93006993006998</v>
      </c>
      <c r="BG37" s="10">
        <f>2*(Дума_партии[[#This Row],[5. Всероссийская политическая партия "ЕДИНАЯ РОССИЯ"]]-(AB$203/100)*Дума_партии[[#This Row],[Число действительных избирательных бюллетеней]])</f>
        <v>906.5200000000001</v>
      </c>
      <c r="BH37" s="10">
        <f>(Дума_партии[[#This Row],[Вброс]]+Дума_партии[[#This Row],[Перекладывание]])/2</f>
        <v>770.22503496503509</v>
      </c>
    </row>
    <row r="38" spans="1:60" x14ac:dyDescent="0.4">
      <c r="A38" t="s">
        <v>49</v>
      </c>
      <c r="B38" t="s">
        <v>50</v>
      </c>
      <c r="C38" t="s">
        <v>51</v>
      </c>
      <c r="D38" t="s">
        <v>138</v>
      </c>
      <c r="E38" t="s">
        <v>166</v>
      </c>
      <c r="F38" s="8">
        <f t="shared" ca="1" si="20"/>
        <v>3605</v>
      </c>
      <c r="G38" t="s">
        <v>321</v>
      </c>
      <c r="H38" s="1" t="str">
        <f>LEFT(Дума_партии[[#This Row],[tik]],4)&amp;"."&amp;IF(ISNUMBER(VALUE(RIGHT(Дума_партии[[#This Row],[tik]]))),RIGHT(Дума_партии[[#This Row],[tik]]),"")</f>
        <v>Один.</v>
      </c>
      <c r="I38">
        <v>1659</v>
      </c>
      <c r="J38" s="8">
        <f>Дума_партии[[#This Row],[Число избирателей, внесенных в список избирателей на момент окончания голосования]]</f>
        <v>1659</v>
      </c>
      <c r="K38">
        <v>1500</v>
      </c>
      <c r="L38">
        <v>0</v>
      </c>
      <c r="M38">
        <v>1110</v>
      </c>
      <c r="N38">
        <v>255</v>
      </c>
      <c r="O38" s="3">
        <f t="shared" si="21"/>
        <v>82.278481012658233</v>
      </c>
      <c r="P38" s="3">
        <f t="shared" si="22"/>
        <v>15.370705244122966</v>
      </c>
      <c r="Q38">
        <v>135</v>
      </c>
      <c r="R38">
        <v>255</v>
      </c>
      <c r="S38">
        <v>1110</v>
      </c>
      <c r="T38" s="1">
        <f t="shared" si="23"/>
        <v>1365</v>
      </c>
      <c r="U38" s="3">
        <f t="shared" si="24"/>
        <v>18.681318681318682</v>
      </c>
      <c r="V38">
        <v>0</v>
      </c>
      <c r="W38" s="3">
        <f t="shared" si="25"/>
        <v>0</v>
      </c>
      <c r="X38">
        <v>1365</v>
      </c>
      <c r="Y38">
        <v>0</v>
      </c>
      <c r="Z38">
        <v>0</v>
      </c>
      <c r="AA38">
        <v>52</v>
      </c>
      <c r="AB38" s="3">
        <f t="shared" si="26"/>
        <v>3.8095238095238093</v>
      </c>
      <c r="AC38">
        <v>25</v>
      </c>
      <c r="AD38" s="3">
        <f t="shared" si="27"/>
        <v>1.8315018315018314</v>
      </c>
      <c r="AE38">
        <v>60</v>
      </c>
      <c r="AF38" s="3">
        <f t="shared" si="28"/>
        <v>4.395604395604396</v>
      </c>
      <c r="AG38">
        <v>9</v>
      </c>
      <c r="AH38" s="3">
        <f t="shared" si="29"/>
        <v>0.65934065934065933</v>
      </c>
      <c r="AI38">
        <v>903</v>
      </c>
      <c r="AJ38" s="3">
        <f t="shared" si="30"/>
        <v>66.15384615384616</v>
      </c>
      <c r="AK38">
        <v>143</v>
      </c>
      <c r="AL38" s="3">
        <f t="shared" si="31"/>
        <v>10.476190476190476</v>
      </c>
      <c r="AM38">
        <v>29</v>
      </c>
      <c r="AN38" s="3">
        <f t="shared" si="32"/>
        <v>2.1245421245421245</v>
      </c>
      <c r="AO38">
        <v>18</v>
      </c>
      <c r="AP38" s="3">
        <f t="shared" si="33"/>
        <v>1.3186813186813187</v>
      </c>
      <c r="AQ38">
        <v>21</v>
      </c>
      <c r="AR38" s="3">
        <f t="shared" si="34"/>
        <v>1.5384615384615385</v>
      </c>
      <c r="AS38">
        <v>16</v>
      </c>
      <c r="AT38" s="3">
        <f t="shared" si="35"/>
        <v>1.1721611721611722</v>
      </c>
      <c r="AU38">
        <v>14</v>
      </c>
      <c r="AV38" s="3">
        <f t="shared" si="36"/>
        <v>1.0256410256410255</v>
      </c>
      <c r="AW38">
        <v>32</v>
      </c>
      <c r="AX38" s="3">
        <f t="shared" si="37"/>
        <v>2.3443223443223444</v>
      </c>
      <c r="AY38">
        <v>17</v>
      </c>
      <c r="AZ38" s="3">
        <f t="shared" si="38"/>
        <v>1.2454212454212454</v>
      </c>
      <c r="BA38">
        <v>26</v>
      </c>
      <c r="BB38" s="3">
        <f t="shared" si="39"/>
        <v>1.9047619047619047</v>
      </c>
      <c r="BC38" t="s">
        <v>314</v>
      </c>
      <c r="BD38" t="s">
        <v>455</v>
      </c>
      <c r="BE38" s="1"/>
      <c r="BF38"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718.84615384615381</v>
      </c>
      <c r="BG38" s="10">
        <f>2*(Дума_партии[[#This Row],[5. Всероссийская политическая партия "ЕДИНАЯ РОССИЯ"]]-(AB$203/100)*Дума_партии[[#This Row],[Число действительных избирательных бюллетеней]])</f>
        <v>1027.95</v>
      </c>
      <c r="BH38" s="10">
        <f>(Дума_партии[[#This Row],[Вброс]]+Дума_партии[[#This Row],[Перекладывание]])/2</f>
        <v>873.39807692307693</v>
      </c>
    </row>
    <row r="39" spans="1:60" x14ac:dyDescent="0.4">
      <c r="A39" t="s">
        <v>49</v>
      </c>
      <c r="B39" t="s">
        <v>50</v>
      </c>
      <c r="C39" t="s">
        <v>51</v>
      </c>
      <c r="D39" t="s">
        <v>138</v>
      </c>
      <c r="E39" t="s">
        <v>167</v>
      </c>
      <c r="F39" s="8">
        <f t="shared" ca="1" si="20"/>
        <v>3606</v>
      </c>
      <c r="G39" t="s">
        <v>321</v>
      </c>
      <c r="H39" s="1" t="str">
        <f>LEFT(Дума_партии[[#This Row],[tik]],4)&amp;"."&amp;IF(ISNUMBER(VALUE(RIGHT(Дума_партии[[#This Row],[tik]]))),RIGHT(Дума_партии[[#This Row],[tik]]),"")</f>
        <v>Один.</v>
      </c>
      <c r="I39">
        <v>1916</v>
      </c>
      <c r="J39" s="8">
        <f>Дума_партии[[#This Row],[Число избирателей, внесенных в список избирателей на момент окончания голосования]]</f>
        <v>1916</v>
      </c>
      <c r="K39">
        <v>1500</v>
      </c>
      <c r="L39">
        <v>0</v>
      </c>
      <c r="M39">
        <v>529</v>
      </c>
      <c r="N39">
        <v>197</v>
      </c>
      <c r="O39" s="3">
        <f t="shared" si="21"/>
        <v>37.891440501043839</v>
      </c>
      <c r="P39" s="3">
        <f t="shared" si="22"/>
        <v>10.281837160751566</v>
      </c>
      <c r="Q39">
        <v>774</v>
      </c>
      <c r="R39">
        <v>197</v>
      </c>
      <c r="S39">
        <v>529</v>
      </c>
      <c r="T39" s="1">
        <f t="shared" si="23"/>
        <v>726</v>
      </c>
      <c r="U39" s="3">
        <f t="shared" si="24"/>
        <v>27.134986225895318</v>
      </c>
      <c r="V39">
        <v>11</v>
      </c>
      <c r="W39" s="3">
        <f t="shared" si="25"/>
        <v>1.5151515151515151</v>
      </c>
      <c r="X39">
        <v>715</v>
      </c>
      <c r="Y39">
        <v>0</v>
      </c>
      <c r="Z39">
        <v>0</v>
      </c>
      <c r="AA39">
        <v>142</v>
      </c>
      <c r="AB39" s="3">
        <f t="shared" si="26"/>
        <v>19.55922865013774</v>
      </c>
      <c r="AC39">
        <v>11</v>
      </c>
      <c r="AD39" s="3">
        <f t="shared" si="27"/>
        <v>1.5151515151515151</v>
      </c>
      <c r="AE39">
        <v>58</v>
      </c>
      <c r="AF39" s="3">
        <f t="shared" si="28"/>
        <v>7.9889807162534439</v>
      </c>
      <c r="AG39">
        <v>23</v>
      </c>
      <c r="AH39" s="3">
        <f t="shared" si="29"/>
        <v>3.168044077134986</v>
      </c>
      <c r="AI39">
        <v>370</v>
      </c>
      <c r="AJ39" s="3">
        <f t="shared" si="30"/>
        <v>50.964187327823694</v>
      </c>
      <c r="AK39">
        <v>52</v>
      </c>
      <c r="AL39" s="3">
        <f t="shared" si="31"/>
        <v>7.1625344352617084</v>
      </c>
      <c r="AM39">
        <v>10</v>
      </c>
      <c r="AN39" s="3">
        <f t="shared" si="32"/>
        <v>1.3774104683195592</v>
      </c>
      <c r="AO39">
        <v>4</v>
      </c>
      <c r="AP39" s="3">
        <f t="shared" si="33"/>
        <v>0.55096418732782371</v>
      </c>
      <c r="AQ39">
        <v>2</v>
      </c>
      <c r="AR39" s="3">
        <f t="shared" si="34"/>
        <v>0.27548209366391185</v>
      </c>
      <c r="AS39">
        <v>10</v>
      </c>
      <c r="AT39" s="3">
        <f t="shared" si="35"/>
        <v>1.3774104683195592</v>
      </c>
      <c r="AU39">
        <v>0</v>
      </c>
      <c r="AV39" s="3">
        <f t="shared" si="36"/>
        <v>0</v>
      </c>
      <c r="AW39">
        <v>10</v>
      </c>
      <c r="AX39" s="3">
        <f t="shared" si="37"/>
        <v>1.3774104683195592</v>
      </c>
      <c r="AY39">
        <v>9</v>
      </c>
      <c r="AZ39" s="3">
        <f t="shared" si="38"/>
        <v>1.2396694214876034</v>
      </c>
      <c r="BA39">
        <v>14</v>
      </c>
      <c r="BB39" s="3">
        <f t="shared" si="39"/>
        <v>1.9283746556473829</v>
      </c>
      <c r="BC39" t="s">
        <v>314</v>
      </c>
      <c r="BD39" t="s">
        <v>455</v>
      </c>
      <c r="BE39" s="1"/>
      <c r="BF39"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232.48251748251749</v>
      </c>
      <c r="BG39" s="10">
        <f>2*(Дума_партии[[#This Row],[5. Всероссийская политическая партия "ЕДИНАЯ РОССИЯ"]]-(AB$203/100)*Дума_партии[[#This Row],[Число действительных избирательных бюллетеней]])</f>
        <v>332.45000000000005</v>
      </c>
      <c r="BH39" s="10">
        <f>(Дума_партии[[#This Row],[Вброс]]+Дума_партии[[#This Row],[Перекладывание]])/2</f>
        <v>282.4662587412588</v>
      </c>
    </row>
    <row r="40" spans="1:60" x14ac:dyDescent="0.4">
      <c r="A40" t="s">
        <v>49</v>
      </c>
      <c r="B40" t="s">
        <v>50</v>
      </c>
      <c r="C40" t="s">
        <v>51</v>
      </c>
      <c r="D40" t="s">
        <v>138</v>
      </c>
      <c r="E40" t="s">
        <v>168</v>
      </c>
      <c r="F40" s="8">
        <f t="shared" ca="1" si="20"/>
        <v>3766</v>
      </c>
      <c r="G40" t="s">
        <v>317</v>
      </c>
      <c r="H40" s="1" t="str">
        <f>LEFT(Дума_партии[[#This Row],[tik]],4)&amp;"."&amp;IF(ISNUMBER(VALUE(RIGHT(Дума_партии[[#This Row],[tik]]))),RIGHT(Дума_партии[[#This Row],[tik]]),"")</f>
        <v>Один.</v>
      </c>
      <c r="I40">
        <v>857</v>
      </c>
      <c r="J40" s="8">
        <f>Дума_партии[[#This Row],[Число избирателей, внесенных в список избирателей на момент окончания голосования]]</f>
        <v>857</v>
      </c>
      <c r="K40">
        <v>800</v>
      </c>
      <c r="L40">
        <v>0</v>
      </c>
      <c r="M40">
        <v>306</v>
      </c>
      <c r="N40">
        <v>40</v>
      </c>
      <c r="O40" s="3">
        <f t="shared" si="21"/>
        <v>40.373395565927652</v>
      </c>
      <c r="P40" s="3">
        <f t="shared" si="22"/>
        <v>4.6674445740956827</v>
      </c>
      <c r="Q40">
        <v>454</v>
      </c>
      <c r="R40">
        <v>40</v>
      </c>
      <c r="S40">
        <v>306</v>
      </c>
      <c r="T40" s="1">
        <f t="shared" si="23"/>
        <v>346</v>
      </c>
      <c r="U40" s="3">
        <f t="shared" si="24"/>
        <v>11.560693641618498</v>
      </c>
      <c r="V40">
        <v>15</v>
      </c>
      <c r="W40" s="3">
        <f t="shared" si="25"/>
        <v>4.3352601156069364</v>
      </c>
      <c r="X40">
        <v>331</v>
      </c>
      <c r="Y40">
        <v>0</v>
      </c>
      <c r="Z40">
        <v>0</v>
      </c>
      <c r="AA40">
        <v>110</v>
      </c>
      <c r="AB40" s="3">
        <f t="shared" si="26"/>
        <v>31.791907514450866</v>
      </c>
      <c r="AC40">
        <v>5</v>
      </c>
      <c r="AD40" s="3">
        <f t="shared" si="27"/>
        <v>1.4450867052023122</v>
      </c>
      <c r="AE40">
        <v>14</v>
      </c>
      <c r="AF40" s="3">
        <f t="shared" si="28"/>
        <v>4.0462427745664744</v>
      </c>
      <c r="AG40">
        <v>13</v>
      </c>
      <c r="AH40" s="3">
        <f t="shared" si="29"/>
        <v>3.7572254335260116</v>
      </c>
      <c r="AI40">
        <v>131</v>
      </c>
      <c r="AJ40" s="3">
        <f t="shared" si="30"/>
        <v>37.861271676300575</v>
      </c>
      <c r="AK40">
        <v>26</v>
      </c>
      <c r="AL40" s="3">
        <f t="shared" si="31"/>
        <v>7.5144508670520231</v>
      </c>
      <c r="AM40">
        <v>4</v>
      </c>
      <c r="AN40" s="3">
        <f t="shared" si="32"/>
        <v>1.1560693641618498</v>
      </c>
      <c r="AO40">
        <v>3</v>
      </c>
      <c r="AP40" s="3">
        <f t="shared" si="33"/>
        <v>0.86705202312138729</v>
      </c>
      <c r="AQ40">
        <v>4</v>
      </c>
      <c r="AR40" s="3">
        <f t="shared" si="34"/>
        <v>1.1560693641618498</v>
      </c>
      <c r="AS40">
        <v>4</v>
      </c>
      <c r="AT40" s="3">
        <f t="shared" si="35"/>
        <v>1.1560693641618498</v>
      </c>
      <c r="AU40">
        <v>0</v>
      </c>
      <c r="AV40" s="3">
        <f t="shared" si="36"/>
        <v>0</v>
      </c>
      <c r="AW40">
        <v>6</v>
      </c>
      <c r="AX40" s="3">
        <f t="shared" si="37"/>
        <v>1.7341040462427746</v>
      </c>
      <c r="AY40">
        <v>2</v>
      </c>
      <c r="AZ40" s="3">
        <f t="shared" si="38"/>
        <v>0.5780346820809249</v>
      </c>
      <c r="BA40">
        <v>9</v>
      </c>
      <c r="BB40" s="3">
        <f t="shared" si="39"/>
        <v>2.601156069364162</v>
      </c>
      <c r="BC40" t="s">
        <v>314</v>
      </c>
      <c r="BD40" s="72">
        <v>2017</v>
      </c>
      <c r="BE40" s="1"/>
      <c r="BF40"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51.279720279720294</v>
      </c>
      <c r="BG40" s="10">
        <f>2*(Дума_партии[[#This Row],[5. Всероссийская политическая партия "ЕДИНАЯ РОССИЯ"]]-(AB$203/100)*Дума_партии[[#This Row],[Число действительных избирательных бюллетеней]])</f>
        <v>73.330000000000013</v>
      </c>
      <c r="BH40" s="10">
        <f>(Дума_партии[[#This Row],[Вброс]]+Дума_партии[[#This Row],[Перекладывание]])/2</f>
        <v>62.304860139860153</v>
      </c>
    </row>
    <row r="41" spans="1:60" x14ac:dyDescent="0.4">
      <c r="A41" t="s">
        <v>49</v>
      </c>
      <c r="B41" t="s">
        <v>50</v>
      </c>
      <c r="C41" t="s">
        <v>51</v>
      </c>
      <c r="D41" t="s">
        <v>138</v>
      </c>
      <c r="E41" t="s">
        <v>169</v>
      </c>
      <c r="F41" s="8">
        <f t="shared" ca="1" si="20"/>
        <v>3768</v>
      </c>
      <c r="G41" t="s">
        <v>317</v>
      </c>
      <c r="H41" s="1" t="str">
        <f>LEFT(Дума_партии[[#This Row],[tik]],4)&amp;"."&amp;IF(ISNUMBER(VALUE(RIGHT(Дума_партии[[#This Row],[tik]]))),RIGHT(Дума_партии[[#This Row],[tik]]),"")</f>
        <v>Один.</v>
      </c>
      <c r="I41">
        <v>1412</v>
      </c>
      <c r="J41" s="8">
        <f>Дума_партии[[#This Row],[Число избирателей, внесенных в список избирателей на момент окончания голосования]]</f>
        <v>1412</v>
      </c>
      <c r="K41">
        <v>1200</v>
      </c>
      <c r="L41">
        <v>0</v>
      </c>
      <c r="M41">
        <v>418</v>
      </c>
      <c r="N41">
        <v>147</v>
      </c>
      <c r="O41" s="3">
        <f t="shared" si="21"/>
        <v>40.014164305949009</v>
      </c>
      <c r="P41" s="3">
        <f t="shared" si="22"/>
        <v>10.410764872521247</v>
      </c>
      <c r="Q41">
        <v>635</v>
      </c>
      <c r="R41">
        <v>147</v>
      </c>
      <c r="S41">
        <v>418</v>
      </c>
      <c r="T41" s="1">
        <f t="shared" si="23"/>
        <v>565</v>
      </c>
      <c r="U41" s="3">
        <f t="shared" si="24"/>
        <v>26.017699115044248</v>
      </c>
      <c r="V41">
        <v>7</v>
      </c>
      <c r="W41" s="3">
        <f t="shared" si="25"/>
        <v>1.2389380530973451</v>
      </c>
      <c r="X41">
        <v>558</v>
      </c>
      <c r="Y41">
        <v>0</v>
      </c>
      <c r="Z41">
        <v>0</v>
      </c>
      <c r="AA41">
        <v>131</v>
      </c>
      <c r="AB41" s="3">
        <f t="shared" si="26"/>
        <v>23.185840707964601</v>
      </c>
      <c r="AC41">
        <v>9</v>
      </c>
      <c r="AD41" s="3">
        <f t="shared" si="27"/>
        <v>1.5929203539823009</v>
      </c>
      <c r="AE41">
        <v>51</v>
      </c>
      <c r="AF41" s="3">
        <f t="shared" si="28"/>
        <v>9.0265486725663724</v>
      </c>
      <c r="AG41">
        <v>21</v>
      </c>
      <c r="AH41" s="3">
        <f t="shared" si="29"/>
        <v>3.7168141592920354</v>
      </c>
      <c r="AI41">
        <v>253</v>
      </c>
      <c r="AJ41" s="3">
        <f t="shared" si="30"/>
        <v>44.778761061946902</v>
      </c>
      <c r="AK41">
        <v>39</v>
      </c>
      <c r="AL41" s="3">
        <f t="shared" si="31"/>
        <v>6.9026548672566372</v>
      </c>
      <c r="AM41">
        <v>9</v>
      </c>
      <c r="AN41" s="3">
        <f t="shared" si="32"/>
        <v>1.5929203539823009</v>
      </c>
      <c r="AO41">
        <v>0</v>
      </c>
      <c r="AP41" s="3">
        <f t="shared" si="33"/>
        <v>0</v>
      </c>
      <c r="AQ41">
        <v>8</v>
      </c>
      <c r="AR41" s="3">
        <f t="shared" si="34"/>
        <v>1.415929203539823</v>
      </c>
      <c r="AS41">
        <v>12</v>
      </c>
      <c r="AT41" s="3">
        <f t="shared" si="35"/>
        <v>2.1238938053097347</v>
      </c>
      <c r="AU41">
        <v>0</v>
      </c>
      <c r="AV41" s="3">
        <f t="shared" si="36"/>
        <v>0</v>
      </c>
      <c r="AW41">
        <v>2</v>
      </c>
      <c r="AX41" s="3">
        <f t="shared" si="37"/>
        <v>0.35398230088495575</v>
      </c>
      <c r="AY41">
        <v>11</v>
      </c>
      <c r="AZ41" s="3">
        <f t="shared" si="38"/>
        <v>1.9469026548672566</v>
      </c>
      <c r="BA41">
        <v>12</v>
      </c>
      <c r="BB41" s="3">
        <f t="shared" si="39"/>
        <v>2.1238938053097347</v>
      </c>
      <c r="BC41" t="s">
        <v>314</v>
      </c>
      <c r="BD41" s="72">
        <v>2017</v>
      </c>
      <c r="BE41" s="1"/>
      <c r="BF41"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131.42657342657344</v>
      </c>
      <c r="BG41" s="10">
        <f>2*(Дума_партии[[#This Row],[5. Всероссийская политическая партия "ЕДИНАЯ РОССИЯ"]]-(AB$203/100)*Дума_партии[[#This Row],[Число действительных избирательных бюллетеней]])</f>
        <v>187.94000000000005</v>
      </c>
      <c r="BH41" s="10">
        <f>(Дума_партии[[#This Row],[Вброс]]+Дума_партии[[#This Row],[Перекладывание]])/2</f>
        <v>159.68328671328675</v>
      </c>
    </row>
    <row r="42" spans="1:60" x14ac:dyDescent="0.4">
      <c r="A42" t="s">
        <v>49</v>
      </c>
      <c r="B42" t="s">
        <v>50</v>
      </c>
      <c r="C42" t="s">
        <v>51</v>
      </c>
      <c r="D42" t="s">
        <v>138</v>
      </c>
      <c r="E42" t="s">
        <v>170</v>
      </c>
      <c r="F42" s="8">
        <f t="shared" ca="1" si="20"/>
        <v>3769</v>
      </c>
      <c r="G42" t="s">
        <v>317</v>
      </c>
      <c r="H42" s="1" t="str">
        <f>LEFT(Дума_партии[[#This Row],[tik]],4)&amp;"."&amp;IF(ISNUMBER(VALUE(RIGHT(Дума_партии[[#This Row],[tik]]))),RIGHT(Дума_партии[[#This Row],[tik]]),"")</f>
        <v>Один.</v>
      </c>
      <c r="I42">
        <v>2036</v>
      </c>
      <c r="J42" s="8">
        <f>Дума_партии[[#This Row],[Число избирателей, внесенных в список избирателей на момент окончания голосования]]</f>
        <v>2036</v>
      </c>
      <c r="K42">
        <v>1500</v>
      </c>
      <c r="L42">
        <v>0</v>
      </c>
      <c r="M42">
        <v>516</v>
      </c>
      <c r="N42">
        <v>197</v>
      </c>
      <c r="O42" s="3">
        <f t="shared" si="21"/>
        <v>35.019646365422396</v>
      </c>
      <c r="P42" s="3">
        <f t="shared" si="22"/>
        <v>9.6758349705304525</v>
      </c>
      <c r="Q42">
        <v>787</v>
      </c>
      <c r="R42">
        <v>186</v>
      </c>
      <c r="S42">
        <v>513</v>
      </c>
      <c r="T42" s="1">
        <f t="shared" si="23"/>
        <v>699</v>
      </c>
      <c r="U42" s="3">
        <f t="shared" si="24"/>
        <v>26.609442060085836</v>
      </c>
      <c r="V42">
        <v>71</v>
      </c>
      <c r="W42" s="3">
        <f t="shared" si="25"/>
        <v>10.157367668097281</v>
      </c>
      <c r="X42">
        <v>628</v>
      </c>
      <c r="Y42">
        <v>0</v>
      </c>
      <c r="Z42">
        <v>0</v>
      </c>
      <c r="AA42">
        <v>134</v>
      </c>
      <c r="AB42" s="3">
        <f t="shared" si="26"/>
        <v>19.170243204577968</v>
      </c>
      <c r="AC42">
        <v>11</v>
      </c>
      <c r="AD42" s="3">
        <f t="shared" si="27"/>
        <v>1.5736766809728182</v>
      </c>
      <c r="AE42">
        <v>51</v>
      </c>
      <c r="AF42" s="3">
        <f t="shared" si="28"/>
        <v>7.296137339055794</v>
      </c>
      <c r="AG42">
        <v>43</v>
      </c>
      <c r="AH42" s="3">
        <f t="shared" si="29"/>
        <v>6.1516452074391985</v>
      </c>
      <c r="AI42">
        <v>249</v>
      </c>
      <c r="AJ42" s="3">
        <f t="shared" si="30"/>
        <v>35.622317596566525</v>
      </c>
      <c r="AK42">
        <v>55</v>
      </c>
      <c r="AL42" s="3">
        <f t="shared" si="31"/>
        <v>7.8683834048640913</v>
      </c>
      <c r="AM42">
        <v>19</v>
      </c>
      <c r="AN42" s="3">
        <f t="shared" si="32"/>
        <v>2.7181688125894135</v>
      </c>
      <c r="AO42">
        <v>7</v>
      </c>
      <c r="AP42" s="3">
        <f t="shared" si="33"/>
        <v>1.0014306151645207</v>
      </c>
      <c r="AQ42">
        <v>8</v>
      </c>
      <c r="AR42" s="3">
        <f t="shared" si="34"/>
        <v>1.1444921316165952</v>
      </c>
      <c r="AS42">
        <v>12</v>
      </c>
      <c r="AT42" s="3">
        <f t="shared" si="35"/>
        <v>1.7167381974248928</v>
      </c>
      <c r="AU42">
        <v>2</v>
      </c>
      <c r="AV42" s="3">
        <f t="shared" si="36"/>
        <v>0.28612303290414881</v>
      </c>
      <c r="AW42">
        <v>8</v>
      </c>
      <c r="AX42" s="3">
        <f t="shared" si="37"/>
        <v>1.1444921316165952</v>
      </c>
      <c r="AY42">
        <v>10</v>
      </c>
      <c r="AZ42" s="3">
        <f t="shared" si="38"/>
        <v>1.4306151645207439</v>
      </c>
      <c r="BA42">
        <v>19</v>
      </c>
      <c r="BB42" s="3">
        <f t="shared" si="39"/>
        <v>2.7181688125894135</v>
      </c>
      <c r="BC42" t="s">
        <v>314</v>
      </c>
      <c r="BD42" s="72">
        <v>2017</v>
      </c>
      <c r="BE42" s="1">
        <v>1</v>
      </c>
      <c r="BF42"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97.930069930069948</v>
      </c>
      <c r="BG42" s="10">
        <f>2*(Дума_партии[[#This Row],[5. Всероссийская политическая партия "ЕДИНАЯ РОССИЯ"]]-(AB$203/100)*Дума_партии[[#This Row],[Число действительных избирательных бюллетеней]])</f>
        <v>140.04000000000002</v>
      </c>
      <c r="BH42" s="10">
        <f>(Дума_партии[[#This Row],[Вброс]]+Дума_партии[[#This Row],[Перекладывание]])/2</f>
        <v>118.98503496503498</v>
      </c>
    </row>
    <row r="43" spans="1:60" x14ac:dyDescent="0.4">
      <c r="A43" t="s">
        <v>49</v>
      </c>
      <c r="B43" t="s">
        <v>50</v>
      </c>
      <c r="C43" t="s">
        <v>51</v>
      </c>
      <c r="D43" t="s">
        <v>138</v>
      </c>
      <c r="E43" t="s">
        <v>171</v>
      </c>
      <c r="F43" s="8">
        <f t="shared" ca="1" si="20"/>
        <v>3771</v>
      </c>
      <c r="G43" t="s">
        <v>317</v>
      </c>
      <c r="H43" s="1" t="str">
        <f>LEFT(Дума_партии[[#This Row],[tik]],4)&amp;"."&amp;IF(ISNUMBER(VALUE(RIGHT(Дума_партии[[#This Row],[tik]]))),RIGHT(Дума_партии[[#This Row],[tik]]),"")</f>
        <v>Один.</v>
      </c>
      <c r="I43">
        <v>559</v>
      </c>
      <c r="J43" s="8">
        <f>Дума_партии[[#This Row],[Число избирателей, внесенных в список избирателей на момент окончания голосования]]</f>
        <v>559</v>
      </c>
      <c r="K43">
        <v>500</v>
      </c>
      <c r="L43">
        <v>0</v>
      </c>
      <c r="M43">
        <v>176</v>
      </c>
      <c r="N43">
        <v>8</v>
      </c>
      <c r="O43" s="3">
        <f t="shared" si="21"/>
        <v>32.91592128801431</v>
      </c>
      <c r="P43" s="3">
        <f t="shared" si="22"/>
        <v>1.4311270125223614</v>
      </c>
      <c r="Q43">
        <v>316</v>
      </c>
      <c r="R43">
        <v>8</v>
      </c>
      <c r="S43">
        <v>176</v>
      </c>
      <c r="T43" s="1">
        <f t="shared" si="23"/>
        <v>184</v>
      </c>
      <c r="U43" s="3">
        <f t="shared" si="24"/>
        <v>4.3478260869565215</v>
      </c>
      <c r="V43">
        <v>19</v>
      </c>
      <c r="W43" s="3">
        <f t="shared" si="25"/>
        <v>10.326086956521738</v>
      </c>
      <c r="X43">
        <v>165</v>
      </c>
      <c r="Y43">
        <v>0</v>
      </c>
      <c r="Z43">
        <v>0</v>
      </c>
      <c r="AA43">
        <v>48</v>
      </c>
      <c r="AB43" s="3">
        <f t="shared" si="26"/>
        <v>26.086956521739129</v>
      </c>
      <c r="AC43">
        <v>4</v>
      </c>
      <c r="AD43" s="3">
        <f t="shared" si="27"/>
        <v>2.1739130434782608</v>
      </c>
      <c r="AE43">
        <v>13</v>
      </c>
      <c r="AF43" s="3">
        <f t="shared" si="28"/>
        <v>7.0652173913043477</v>
      </c>
      <c r="AG43">
        <v>18</v>
      </c>
      <c r="AH43" s="3">
        <f t="shared" si="29"/>
        <v>9.7826086956521738</v>
      </c>
      <c r="AI43">
        <v>58</v>
      </c>
      <c r="AJ43" s="3">
        <f t="shared" si="30"/>
        <v>31.521739130434781</v>
      </c>
      <c r="AK43">
        <v>8</v>
      </c>
      <c r="AL43" s="3">
        <f t="shared" si="31"/>
        <v>4.3478260869565215</v>
      </c>
      <c r="AM43">
        <v>2</v>
      </c>
      <c r="AN43" s="3">
        <f t="shared" si="32"/>
        <v>1.0869565217391304</v>
      </c>
      <c r="AO43">
        <v>0</v>
      </c>
      <c r="AP43" s="3">
        <f t="shared" si="33"/>
        <v>0</v>
      </c>
      <c r="AQ43">
        <v>1</v>
      </c>
      <c r="AR43" s="3">
        <f t="shared" si="34"/>
        <v>0.54347826086956519</v>
      </c>
      <c r="AS43">
        <v>2</v>
      </c>
      <c r="AT43" s="3">
        <f t="shared" si="35"/>
        <v>1.0869565217391304</v>
      </c>
      <c r="AU43">
        <v>0</v>
      </c>
      <c r="AV43" s="3">
        <f t="shared" si="36"/>
        <v>0</v>
      </c>
      <c r="AW43">
        <v>0</v>
      </c>
      <c r="AX43" s="3">
        <f t="shared" si="37"/>
        <v>0</v>
      </c>
      <c r="AY43">
        <v>6</v>
      </c>
      <c r="AZ43" s="3">
        <f t="shared" si="38"/>
        <v>3.2608695652173911</v>
      </c>
      <c r="BA43">
        <v>5</v>
      </c>
      <c r="BB43" s="3">
        <f t="shared" si="39"/>
        <v>2.7173913043478262</v>
      </c>
      <c r="BC43" t="s">
        <v>314</v>
      </c>
      <c r="BD43" t="s">
        <v>455</v>
      </c>
      <c r="BE43" s="1"/>
      <c r="BF43"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15.349650349650354</v>
      </c>
      <c r="BG43" s="10">
        <f>2*(Дума_партии[[#This Row],[5. Всероссийская политическая партия "ЕДИНАЯ РОССИЯ"]]-(AB$203/100)*Дума_партии[[#This Row],[Число действительных избирательных бюллетеней]])</f>
        <v>21.950000000000003</v>
      </c>
      <c r="BH43" s="10">
        <f>(Дума_партии[[#This Row],[Вброс]]+Дума_партии[[#This Row],[Перекладывание]])/2</f>
        <v>18.649825174825178</v>
      </c>
    </row>
    <row r="44" spans="1:60" s="17" customFormat="1" x14ac:dyDescent="0.4">
      <c r="A44" s="17" t="s">
        <v>49</v>
      </c>
      <c r="B44" s="17" t="s">
        <v>50</v>
      </c>
      <c r="C44" s="17" t="s">
        <v>51</v>
      </c>
      <c r="D44" s="17" t="s">
        <v>138</v>
      </c>
      <c r="E44" s="17" t="s">
        <v>172</v>
      </c>
      <c r="F44" s="24">
        <f t="shared" ca="1" si="20"/>
        <v>3908</v>
      </c>
      <c r="G44" s="17" t="s">
        <v>322</v>
      </c>
      <c r="H44" s="17" t="str">
        <f>LEFT(Дума_партии[[#This Row],[tik]],4)&amp;"."&amp;IF(ISNUMBER(VALUE(RIGHT(Дума_партии[[#This Row],[tik]]))),RIGHT(Дума_партии[[#This Row],[tik]]),"")</f>
        <v>Один.</v>
      </c>
      <c r="I44" s="17">
        <v>2692</v>
      </c>
      <c r="J44" s="24">
        <f>Дума_партии[[#This Row],[Число избирателей, внесенных в список избирателей на момент окончания голосования]]</f>
        <v>2692</v>
      </c>
      <c r="K44" s="17">
        <v>2000</v>
      </c>
      <c r="L44" s="17">
        <v>0</v>
      </c>
      <c r="M44" s="17">
        <v>911</v>
      </c>
      <c r="N44" s="17">
        <v>20</v>
      </c>
      <c r="O44" s="25">
        <f t="shared" si="21"/>
        <v>34.583952451708768</v>
      </c>
      <c r="P44" s="25">
        <f t="shared" si="22"/>
        <v>0.74294205052005946</v>
      </c>
      <c r="Q44" s="17">
        <v>1069</v>
      </c>
      <c r="R44" s="17">
        <v>20</v>
      </c>
      <c r="S44" s="17">
        <v>911</v>
      </c>
      <c r="T44" s="17">
        <f t="shared" si="23"/>
        <v>931</v>
      </c>
      <c r="U44" s="25">
        <f t="shared" si="24"/>
        <v>2.1482277121374866</v>
      </c>
      <c r="V44" s="17">
        <v>29</v>
      </c>
      <c r="W44" s="25">
        <f t="shared" si="25"/>
        <v>3.1149301825993554</v>
      </c>
      <c r="X44" s="17">
        <v>902</v>
      </c>
      <c r="Y44" s="17">
        <v>0</v>
      </c>
      <c r="Z44" s="17">
        <v>0</v>
      </c>
      <c r="AA44" s="17">
        <v>311</v>
      </c>
      <c r="AB44" s="25">
        <f t="shared" si="26"/>
        <v>33.404940923737918</v>
      </c>
      <c r="AC44" s="17">
        <v>13</v>
      </c>
      <c r="AD44" s="25">
        <f t="shared" si="27"/>
        <v>1.3963480128893662</v>
      </c>
      <c r="AE44" s="17">
        <v>63</v>
      </c>
      <c r="AF44" s="25">
        <f t="shared" si="28"/>
        <v>6.7669172932330826</v>
      </c>
      <c r="AG44" s="17">
        <v>95</v>
      </c>
      <c r="AH44" s="25">
        <f t="shared" si="29"/>
        <v>10.204081632653061</v>
      </c>
      <c r="AI44" s="17">
        <v>207</v>
      </c>
      <c r="AJ44" s="25">
        <f t="shared" si="30"/>
        <v>22.234156820622985</v>
      </c>
      <c r="AK44" s="17">
        <v>76</v>
      </c>
      <c r="AL44" s="25">
        <f t="shared" si="31"/>
        <v>8.1632653061224492</v>
      </c>
      <c r="AM44" s="17">
        <v>19</v>
      </c>
      <c r="AN44" s="25">
        <f t="shared" si="32"/>
        <v>2.0408163265306123</v>
      </c>
      <c r="AO44" s="17">
        <v>4</v>
      </c>
      <c r="AP44" s="25">
        <f t="shared" si="33"/>
        <v>0.42964554242749731</v>
      </c>
      <c r="AQ44" s="17">
        <v>14</v>
      </c>
      <c r="AR44" s="25">
        <f t="shared" si="34"/>
        <v>1.5037593984962405</v>
      </c>
      <c r="AS44" s="17">
        <v>20</v>
      </c>
      <c r="AT44" s="25">
        <f t="shared" si="35"/>
        <v>2.1482277121374866</v>
      </c>
      <c r="AU44" s="17">
        <v>2</v>
      </c>
      <c r="AV44" s="25">
        <f t="shared" si="36"/>
        <v>0.21482277121374865</v>
      </c>
      <c r="AW44" s="17">
        <v>11</v>
      </c>
      <c r="AX44" s="25">
        <f t="shared" si="37"/>
        <v>1.1815252416756177</v>
      </c>
      <c r="AY44" s="17">
        <v>21</v>
      </c>
      <c r="AZ44" s="25">
        <f t="shared" si="38"/>
        <v>2.255639097744361</v>
      </c>
      <c r="BA44" s="17">
        <v>46</v>
      </c>
      <c r="BB44" s="25">
        <f t="shared" si="39"/>
        <v>4.9409237379162194</v>
      </c>
      <c r="BC44" s="17" t="s">
        <v>314</v>
      </c>
      <c r="BD44" s="73">
        <v>2017</v>
      </c>
      <c r="BE44" s="17">
        <v>1</v>
      </c>
      <c r="BF44" s="26">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-70.027972027971998</v>
      </c>
      <c r="BG44" s="26">
        <f>2*(Дума_партии[[#This Row],[5. Всероссийская политическая партия "ЕДИНАЯ РОССИЯ"]]-(AB$203/100)*Дума_партии[[#This Row],[Число действительных избирательных бюллетеней]])</f>
        <v>-100.13999999999999</v>
      </c>
      <c r="BH44" s="26">
        <f>(Дума_партии[[#This Row],[Вброс]]+Дума_партии[[#This Row],[Перекладывание]])/2</f>
        <v>-85.083986013985992</v>
      </c>
    </row>
    <row r="45" spans="1:60" s="17" customFormat="1" x14ac:dyDescent="0.4">
      <c r="A45" s="17" t="s">
        <v>49</v>
      </c>
      <c r="B45" s="17" t="s">
        <v>50</v>
      </c>
      <c r="C45" s="17" t="s">
        <v>51</v>
      </c>
      <c r="D45" s="17" t="s">
        <v>138</v>
      </c>
      <c r="E45" s="17" t="s">
        <v>173</v>
      </c>
      <c r="F45" s="24">
        <f t="shared" ca="1" si="20"/>
        <v>3909</v>
      </c>
      <c r="G45" s="17" t="s">
        <v>322</v>
      </c>
      <c r="H45" s="17" t="str">
        <f>LEFT(Дума_партии[[#This Row],[tik]],4)&amp;"."&amp;IF(ISNUMBER(VALUE(RIGHT(Дума_партии[[#This Row],[tik]]))),RIGHT(Дума_партии[[#This Row],[tik]]),"")</f>
        <v>Один.</v>
      </c>
      <c r="I45" s="17">
        <v>2322</v>
      </c>
      <c r="J45" s="24">
        <f>Дума_партии[[#This Row],[Число избирателей, внесенных в список избирателей на момент окончания голосования]]</f>
        <v>2322</v>
      </c>
      <c r="K45" s="17">
        <v>2000</v>
      </c>
      <c r="L45" s="17">
        <v>0</v>
      </c>
      <c r="M45" s="17">
        <v>777</v>
      </c>
      <c r="N45" s="17">
        <v>14</v>
      </c>
      <c r="O45" s="25">
        <f t="shared" si="21"/>
        <v>34.065460809646858</v>
      </c>
      <c r="P45" s="25">
        <f t="shared" si="22"/>
        <v>0.60292850990525404</v>
      </c>
      <c r="Q45" s="17">
        <v>1209</v>
      </c>
      <c r="R45" s="17">
        <v>14</v>
      </c>
      <c r="S45" s="17">
        <v>777</v>
      </c>
      <c r="T45" s="17">
        <f t="shared" si="23"/>
        <v>791</v>
      </c>
      <c r="U45" s="25">
        <f t="shared" si="24"/>
        <v>1.7699115044247788</v>
      </c>
      <c r="V45" s="17">
        <v>34</v>
      </c>
      <c r="W45" s="25">
        <f t="shared" si="25"/>
        <v>4.298356510745891</v>
      </c>
      <c r="X45" s="17">
        <v>757</v>
      </c>
      <c r="Y45" s="17">
        <v>0</v>
      </c>
      <c r="Z45" s="17">
        <v>0</v>
      </c>
      <c r="AA45" s="17">
        <v>260</v>
      </c>
      <c r="AB45" s="25">
        <f t="shared" si="26"/>
        <v>32.869785082174459</v>
      </c>
      <c r="AC45" s="17">
        <v>13</v>
      </c>
      <c r="AD45" s="25">
        <f t="shared" si="27"/>
        <v>1.6434892541087232</v>
      </c>
      <c r="AE45" s="17">
        <v>48</v>
      </c>
      <c r="AF45" s="25">
        <f t="shared" si="28"/>
        <v>6.0682680151706698</v>
      </c>
      <c r="AG45" s="17">
        <v>69</v>
      </c>
      <c r="AH45" s="25">
        <f t="shared" si="29"/>
        <v>8.7231352718078377</v>
      </c>
      <c r="AI45" s="17">
        <v>173</v>
      </c>
      <c r="AJ45" s="25">
        <f t="shared" si="30"/>
        <v>21.871049304677623</v>
      </c>
      <c r="AK45" s="17">
        <v>81</v>
      </c>
      <c r="AL45" s="25">
        <f t="shared" si="31"/>
        <v>10.240202275600506</v>
      </c>
      <c r="AM45" s="17">
        <v>15</v>
      </c>
      <c r="AN45" s="25">
        <f t="shared" si="32"/>
        <v>1.8963337547408343</v>
      </c>
      <c r="AO45" s="17">
        <v>3</v>
      </c>
      <c r="AP45" s="25">
        <f t="shared" si="33"/>
        <v>0.37926675094816686</v>
      </c>
      <c r="AQ45" s="17">
        <v>11</v>
      </c>
      <c r="AR45" s="25">
        <f t="shared" si="34"/>
        <v>1.390644753476612</v>
      </c>
      <c r="AS45" s="17">
        <v>26</v>
      </c>
      <c r="AT45" s="25">
        <f t="shared" si="35"/>
        <v>3.2869785082174463</v>
      </c>
      <c r="AU45" s="17">
        <v>1</v>
      </c>
      <c r="AV45" s="25">
        <f t="shared" si="36"/>
        <v>0.12642225031605561</v>
      </c>
      <c r="AW45" s="17">
        <v>9</v>
      </c>
      <c r="AX45" s="25">
        <f t="shared" si="37"/>
        <v>1.1378002528445006</v>
      </c>
      <c r="AY45" s="17">
        <v>11</v>
      </c>
      <c r="AZ45" s="25">
        <f t="shared" si="38"/>
        <v>1.390644753476612</v>
      </c>
      <c r="BA45" s="17">
        <v>37</v>
      </c>
      <c r="BB45" s="25">
        <f t="shared" si="39"/>
        <v>4.6776232616940581</v>
      </c>
      <c r="BC45" s="17" t="s">
        <v>314</v>
      </c>
      <c r="BD45" s="73">
        <v>2017</v>
      </c>
      <c r="BE45" s="17">
        <v>2</v>
      </c>
      <c r="BF45" s="26">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-59.783216783216744</v>
      </c>
      <c r="BG45" s="26">
        <f>2*(Дума_партии[[#This Row],[5. Всероссийская политическая партия "ЕДИНАЯ РОССИЯ"]]-(AB$203/100)*Дума_партии[[#This Row],[Число действительных избирательных бюллетеней]])</f>
        <v>-85.489999999999952</v>
      </c>
      <c r="BH45" s="26">
        <f>(Дума_партии[[#This Row],[Вброс]]+Дума_партии[[#This Row],[Перекладывание]])/2</f>
        <v>-72.636608391608348</v>
      </c>
    </row>
    <row r="46" spans="1:60" s="17" customFormat="1" x14ac:dyDescent="0.4">
      <c r="A46" s="17" t="s">
        <v>49</v>
      </c>
      <c r="B46" s="17" t="s">
        <v>50</v>
      </c>
      <c r="C46" s="17" t="s">
        <v>51</v>
      </c>
      <c r="D46" s="17" t="s">
        <v>138</v>
      </c>
      <c r="E46" s="17" t="s">
        <v>174</v>
      </c>
      <c r="F46" s="24">
        <f t="shared" ca="1" si="20"/>
        <v>3912</v>
      </c>
      <c r="G46" s="17" t="s">
        <v>322</v>
      </c>
      <c r="H46" s="17" t="str">
        <f>LEFT(Дума_партии[[#This Row],[tik]],4)&amp;"."&amp;IF(ISNUMBER(VALUE(RIGHT(Дума_партии[[#This Row],[tik]]))),RIGHT(Дума_партии[[#This Row],[tik]]),"")</f>
        <v>Один.</v>
      </c>
      <c r="I46" s="17">
        <v>2409</v>
      </c>
      <c r="J46" s="24">
        <f>Дума_партии[[#This Row],[Число избирателей, внесенных в список избирателей на момент окончания голосования]]</f>
        <v>2409</v>
      </c>
      <c r="K46" s="17">
        <v>2000</v>
      </c>
      <c r="L46" s="17">
        <v>0</v>
      </c>
      <c r="M46" s="17">
        <v>1603</v>
      </c>
      <c r="N46" s="17">
        <v>0</v>
      </c>
      <c r="O46" s="25">
        <f t="shared" si="21"/>
        <v>66.542133665421332</v>
      </c>
      <c r="P46" s="25">
        <f t="shared" si="22"/>
        <v>0</v>
      </c>
      <c r="Q46" s="17">
        <v>397</v>
      </c>
      <c r="R46" s="17">
        <v>0</v>
      </c>
      <c r="S46" s="17">
        <v>1602</v>
      </c>
      <c r="T46" s="17">
        <f t="shared" si="23"/>
        <v>1602</v>
      </c>
      <c r="U46" s="25">
        <f t="shared" si="24"/>
        <v>0</v>
      </c>
      <c r="V46" s="17">
        <v>39</v>
      </c>
      <c r="W46" s="25">
        <f t="shared" si="25"/>
        <v>2.4344569288389515</v>
      </c>
      <c r="X46" s="17">
        <v>1563</v>
      </c>
      <c r="Y46" s="17">
        <v>0</v>
      </c>
      <c r="Z46" s="17">
        <v>0</v>
      </c>
      <c r="AA46" s="17">
        <v>151</v>
      </c>
      <c r="AB46" s="25">
        <f t="shared" si="26"/>
        <v>9.4257178526841443</v>
      </c>
      <c r="AC46" s="17">
        <v>7</v>
      </c>
      <c r="AD46" s="25">
        <f t="shared" si="27"/>
        <v>0.43695380774032461</v>
      </c>
      <c r="AE46" s="17">
        <v>36</v>
      </c>
      <c r="AF46" s="25">
        <f t="shared" si="28"/>
        <v>2.2471910112359552</v>
      </c>
      <c r="AG46" s="17">
        <v>38</v>
      </c>
      <c r="AH46" s="25">
        <f t="shared" si="29"/>
        <v>2.3720349563046192</v>
      </c>
      <c r="AI46" s="17">
        <v>1210</v>
      </c>
      <c r="AJ46" s="25">
        <f t="shared" si="30"/>
        <v>75.530586766541816</v>
      </c>
      <c r="AK46" s="17">
        <v>48</v>
      </c>
      <c r="AL46" s="25">
        <f t="shared" si="31"/>
        <v>2.9962546816479403</v>
      </c>
      <c r="AM46" s="17">
        <v>11</v>
      </c>
      <c r="AN46" s="25">
        <f t="shared" si="32"/>
        <v>0.68664169787765295</v>
      </c>
      <c r="AO46" s="17">
        <v>2</v>
      </c>
      <c r="AP46" s="25">
        <f t="shared" si="33"/>
        <v>0.12484394506866417</v>
      </c>
      <c r="AQ46" s="17">
        <v>5</v>
      </c>
      <c r="AR46" s="25">
        <f t="shared" si="34"/>
        <v>0.31210986267166041</v>
      </c>
      <c r="AS46" s="17">
        <v>13</v>
      </c>
      <c r="AT46" s="25">
        <f t="shared" si="35"/>
        <v>0.81148564294631709</v>
      </c>
      <c r="AU46" s="17">
        <v>3</v>
      </c>
      <c r="AV46" s="25">
        <f t="shared" si="36"/>
        <v>0.18726591760299627</v>
      </c>
      <c r="AW46" s="17">
        <v>8</v>
      </c>
      <c r="AX46" s="25">
        <f t="shared" si="37"/>
        <v>0.49937578027465668</v>
      </c>
      <c r="AY46" s="17">
        <v>14</v>
      </c>
      <c r="AZ46" s="25">
        <f t="shared" si="38"/>
        <v>0.87390761548064921</v>
      </c>
      <c r="BA46" s="17">
        <v>17</v>
      </c>
      <c r="BB46" s="25">
        <f t="shared" si="39"/>
        <v>1.0611735330836454</v>
      </c>
      <c r="BC46" s="17" t="s">
        <v>314</v>
      </c>
      <c r="BD46" s="73">
        <v>2017</v>
      </c>
      <c r="BF46" s="26">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1069.2937062937062</v>
      </c>
      <c r="BG46" s="26">
        <f>2*(Дума_партии[[#This Row],[5. Всероссийская политическая партия "ЕДИНАЯ РОССИЯ"]]-(AB$203/100)*Дума_партии[[#This Row],[Число действительных избирательных бюллетеней]])</f>
        <v>1529.0900000000001</v>
      </c>
      <c r="BH46" s="26">
        <f>(Дума_партии[[#This Row],[Вброс]]+Дума_партии[[#This Row],[Перекладывание]])/2</f>
        <v>1299.1918531468532</v>
      </c>
    </row>
    <row r="47" spans="1:60" s="17" customFormat="1" x14ac:dyDescent="0.4">
      <c r="A47" s="17" t="s">
        <v>49</v>
      </c>
      <c r="B47" s="17" t="s">
        <v>50</v>
      </c>
      <c r="C47" s="17" t="s">
        <v>51</v>
      </c>
      <c r="D47" s="17" t="s">
        <v>138</v>
      </c>
      <c r="E47" s="17" t="s">
        <v>175</v>
      </c>
      <c r="F47" s="24">
        <f t="shared" ca="1" si="20"/>
        <v>3913</v>
      </c>
      <c r="G47" s="17" t="s">
        <v>322</v>
      </c>
      <c r="H47" s="17" t="str">
        <f>LEFT(Дума_партии[[#This Row],[tik]],4)&amp;"."&amp;IF(ISNUMBER(VALUE(RIGHT(Дума_партии[[#This Row],[tik]]))),RIGHT(Дума_партии[[#This Row],[tik]]),"")</f>
        <v>Один.</v>
      </c>
      <c r="I47" s="17">
        <v>1292</v>
      </c>
      <c r="J47" s="24">
        <f>Дума_партии[[#This Row],[Число избирателей, внесенных в список избирателей на момент окончания голосования]]</f>
        <v>1292</v>
      </c>
      <c r="K47" s="17">
        <v>1200</v>
      </c>
      <c r="L47" s="17">
        <v>0</v>
      </c>
      <c r="M47" s="17">
        <v>1072</v>
      </c>
      <c r="N47" s="17">
        <v>0</v>
      </c>
      <c r="O47" s="25">
        <f t="shared" si="21"/>
        <v>82.972136222910223</v>
      </c>
      <c r="P47" s="25">
        <f t="shared" si="22"/>
        <v>0</v>
      </c>
      <c r="Q47" s="17">
        <v>128</v>
      </c>
      <c r="R47" s="17">
        <v>0</v>
      </c>
      <c r="S47" s="17">
        <v>1069</v>
      </c>
      <c r="T47" s="17">
        <f t="shared" si="23"/>
        <v>1069</v>
      </c>
      <c r="U47" s="25">
        <f t="shared" si="24"/>
        <v>0</v>
      </c>
      <c r="V47" s="17">
        <v>12</v>
      </c>
      <c r="W47" s="25">
        <f t="shared" si="25"/>
        <v>1.1225444340505144</v>
      </c>
      <c r="X47" s="17">
        <v>1057</v>
      </c>
      <c r="Y47" s="17">
        <v>0</v>
      </c>
      <c r="Z47" s="17">
        <v>0</v>
      </c>
      <c r="AA47" s="17">
        <v>37</v>
      </c>
      <c r="AB47" s="25">
        <f t="shared" si="26"/>
        <v>3.4611786716557531</v>
      </c>
      <c r="AC47" s="17">
        <v>6</v>
      </c>
      <c r="AD47" s="25">
        <f t="shared" si="27"/>
        <v>0.5612722170252572</v>
      </c>
      <c r="AE47" s="17">
        <v>30</v>
      </c>
      <c r="AF47" s="25">
        <f t="shared" si="28"/>
        <v>2.8063610851262863</v>
      </c>
      <c r="AG47" s="17">
        <v>27</v>
      </c>
      <c r="AH47" s="25">
        <f t="shared" si="29"/>
        <v>2.5257249766136578</v>
      </c>
      <c r="AI47" s="17">
        <v>910</v>
      </c>
      <c r="AJ47" s="25">
        <f t="shared" si="30"/>
        <v>85.126286248830681</v>
      </c>
      <c r="AK47" s="17">
        <v>13</v>
      </c>
      <c r="AL47" s="25">
        <f t="shared" si="31"/>
        <v>1.2160898035547241</v>
      </c>
      <c r="AM47" s="17">
        <v>6</v>
      </c>
      <c r="AN47" s="25">
        <f t="shared" si="32"/>
        <v>0.5612722170252572</v>
      </c>
      <c r="AO47" s="17">
        <v>2</v>
      </c>
      <c r="AP47" s="25">
        <f t="shared" si="33"/>
        <v>0.18709073900841908</v>
      </c>
      <c r="AQ47" s="17">
        <v>0</v>
      </c>
      <c r="AR47" s="25">
        <f t="shared" si="34"/>
        <v>0</v>
      </c>
      <c r="AS47" s="17">
        <v>6</v>
      </c>
      <c r="AT47" s="25">
        <f t="shared" si="35"/>
        <v>0.5612722170252572</v>
      </c>
      <c r="AU47" s="17">
        <v>0</v>
      </c>
      <c r="AV47" s="25">
        <f t="shared" si="36"/>
        <v>0</v>
      </c>
      <c r="AW47" s="17">
        <v>4</v>
      </c>
      <c r="AX47" s="25">
        <f t="shared" si="37"/>
        <v>0.37418147801683815</v>
      </c>
      <c r="AY47" s="17">
        <v>5</v>
      </c>
      <c r="AZ47" s="25">
        <f t="shared" si="38"/>
        <v>0.46772684752104771</v>
      </c>
      <c r="BA47" s="17">
        <v>11</v>
      </c>
      <c r="BB47" s="25">
        <f t="shared" si="39"/>
        <v>1.028999064546305</v>
      </c>
      <c r="BC47" s="17" t="s">
        <v>314</v>
      </c>
      <c r="BD47" s="17" t="s">
        <v>455</v>
      </c>
      <c r="BF47" s="26">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851.40559440559446</v>
      </c>
      <c r="BG47" s="26">
        <f>2*(Дума_партии[[#This Row],[5. Всероссийская политическая партия "ЕДИНАЯ РОССИЯ"]]-(AB$203/100)*Дума_партии[[#This Row],[Число действительных избирательных бюллетеней]])</f>
        <v>1217.5100000000002</v>
      </c>
      <c r="BH47" s="26">
        <f>(Дума_партии[[#This Row],[Вброс]]+Дума_партии[[#This Row],[Перекладывание]])/2</f>
        <v>1034.4577972027973</v>
      </c>
    </row>
    <row r="48" spans="1:60" s="17" customFormat="1" x14ac:dyDescent="0.4">
      <c r="A48" s="17" t="s">
        <v>49</v>
      </c>
      <c r="B48" s="17" t="s">
        <v>50</v>
      </c>
      <c r="C48" s="17" t="s">
        <v>51</v>
      </c>
      <c r="D48" s="17" t="s">
        <v>138</v>
      </c>
      <c r="E48" s="17" t="s">
        <v>176</v>
      </c>
      <c r="F48" s="24">
        <f t="shared" ca="1" si="20"/>
        <v>3914</v>
      </c>
      <c r="G48" s="17" t="s">
        <v>322</v>
      </c>
      <c r="H48" s="17" t="str">
        <f>LEFT(Дума_партии[[#This Row],[tik]],4)&amp;"."&amp;IF(ISNUMBER(VALUE(RIGHT(Дума_партии[[#This Row],[tik]]))),RIGHT(Дума_партии[[#This Row],[tik]]),"")</f>
        <v>Один.</v>
      </c>
      <c r="I48" s="17">
        <v>437</v>
      </c>
      <c r="J48" s="24">
        <f>Дума_партии[[#This Row],[Число избирателей, внесенных в список избирателей на момент окончания голосования]]</f>
        <v>437</v>
      </c>
      <c r="K48" s="17">
        <v>400</v>
      </c>
      <c r="L48" s="17">
        <v>0</v>
      </c>
      <c r="M48" s="17">
        <v>263</v>
      </c>
      <c r="N48" s="17">
        <v>20</v>
      </c>
      <c r="O48" s="25">
        <f t="shared" si="21"/>
        <v>64.759725400457668</v>
      </c>
      <c r="P48" s="25">
        <f t="shared" si="22"/>
        <v>4.5766590389016022</v>
      </c>
      <c r="Q48" s="17">
        <v>117</v>
      </c>
      <c r="R48" s="17">
        <v>20</v>
      </c>
      <c r="S48" s="17">
        <v>263</v>
      </c>
      <c r="T48" s="17">
        <f t="shared" si="23"/>
        <v>283</v>
      </c>
      <c r="U48" s="25">
        <f t="shared" si="24"/>
        <v>7.0671378091872787</v>
      </c>
      <c r="V48" s="17">
        <v>0</v>
      </c>
      <c r="W48" s="25">
        <f t="shared" si="25"/>
        <v>0</v>
      </c>
      <c r="X48" s="17">
        <v>283</v>
      </c>
      <c r="Y48" s="17">
        <v>0</v>
      </c>
      <c r="Z48" s="17">
        <v>0</v>
      </c>
      <c r="AA48" s="17">
        <v>53</v>
      </c>
      <c r="AB48" s="25">
        <f t="shared" si="26"/>
        <v>18.727915194346291</v>
      </c>
      <c r="AC48" s="17">
        <v>3</v>
      </c>
      <c r="AD48" s="25">
        <f t="shared" si="27"/>
        <v>1.0600706713780919</v>
      </c>
      <c r="AE48" s="17">
        <v>21</v>
      </c>
      <c r="AF48" s="25">
        <f t="shared" si="28"/>
        <v>7.4204946996466434</v>
      </c>
      <c r="AG48" s="17">
        <v>14</v>
      </c>
      <c r="AH48" s="25">
        <f t="shared" si="29"/>
        <v>4.946996466431095</v>
      </c>
      <c r="AI48" s="17">
        <v>154</v>
      </c>
      <c r="AJ48" s="25">
        <f t="shared" si="30"/>
        <v>54.416961130742052</v>
      </c>
      <c r="AK48" s="17">
        <v>10</v>
      </c>
      <c r="AL48" s="25">
        <f t="shared" si="31"/>
        <v>3.5335689045936394</v>
      </c>
      <c r="AM48" s="17">
        <v>2</v>
      </c>
      <c r="AN48" s="25">
        <f t="shared" si="32"/>
        <v>0.70671378091872794</v>
      </c>
      <c r="AO48" s="17">
        <v>0</v>
      </c>
      <c r="AP48" s="25">
        <f t="shared" si="33"/>
        <v>0</v>
      </c>
      <c r="AQ48" s="17">
        <v>5</v>
      </c>
      <c r="AR48" s="25">
        <f t="shared" si="34"/>
        <v>1.7667844522968197</v>
      </c>
      <c r="AS48" s="17">
        <v>2</v>
      </c>
      <c r="AT48" s="25">
        <f t="shared" si="35"/>
        <v>0.70671378091872794</v>
      </c>
      <c r="AU48" s="17">
        <v>1</v>
      </c>
      <c r="AV48" s="25">
        <f t="shared" si="36"/>
        <v>0.35335689045936397</v>
      </c>
      <c r="AW48" s="17">
        <v>2</v>
      </c>
      <c r="AX48" s="25">
        <f t="shared" si="37"/>
        <v>0.70671378091872794</v>
      </c>
      <c r="AY48" s="17">
        <v>5</v>
      </c>
      <c r="AZ48" s="25">
        <f t="shared" si="38"/>
        <v>1.7667844522968197</v>
      </c>
      <c r="BA48" s="17">
        <v>11</v>
      </c>
      <c r="BB48" s="25">
        <f t="shared" si="39"/>
        <v>3.8869257950530036</v>
      </c>
      <c r="BC48" s="17" t="s">
        <v>314</v>
      </c>
      <c r="BD48" s="17" t="s">
        <v>455</v>
      </c>
      <c r="BF48" s="26">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102.58041958041959</v>
      </c>
      <c r="BG48" s="26">
        <f>2*(Дума_партии[[#This Row],[5. Всероссийская политическая партия "ЕДИНАЯ РОССИЯ"]]-(AB$203/100)*Дума_партии[[#This Row],[Число действительных избирательных бюллетеней]])</f>
        <v>146.69000000000003</v>
      </c>
      <c r="BH48" s="26">
        <f>(Дума_партии[[#This Row],[Вброс]]+Дума_партии[[#This Row],[Перекладывание]])/2</f>
        <v>124.63520979020981</v>
      </c>
    </row>
    <row r="49" spans="1:60" s="17" customFormat="1" x14ac:dyDescent="0.4">
      <c r="A49" s="17" t="s">
        <v>49</v>
      </c>
      <c r="B49" s="17" t="s">
        <v>50</v>
      </c>
      <c r="C49" s="17" t="s">
        <v>51</v>
      </c>
      <c r="D49" s="17" t="s">
        <v>138</v>
      </c>
      <c r="E49" s="17" t="s">
        <v>177</v>
      </c>
      <c r="F49" s="24">
        <f t="shared" ca="1" si="20"/>
        <v>3915</v>
      </c>
      <c r="G49" s="17" t="s">
        <v>322</v>
      </c>
      <c r="H49" s="17" t="str">
        <f>LEFT(Дума_партии[[#This Row],[tik]],4)&amp;"."&amp;IF(ISNUMBER(VALUE(RIGHT(Дума_партии[[#This Row],[tik]]))),RIGHT(Дума_партии[[#This Row],[tik]]),"")</f>
        <v>Один.</v>
      </c>
      <c r="I49" s="17">
        <v>1605</v>
      </c>
      <c r="J49" s="24">
        <f>Дума_партии[[#This Row],[Число избирателей, внесенных в список избирателей на момент окончания голосования]]</f>
        <v>1605</v>
      </c>
      <c r="K49" s="17">
        <v>1500</v>
      </c>
      <c r="L49" s="17">
        <v>0</v>
      </c>
      <c r="M49" s="17">
        <v>650</v>
      </c>
      <c r="N49" s="17">
        <v>5</v>
      </c>
      <c r="O49" s="25">
        <f t="shared" si="21"/>
        <v>40.809968847352025</v>
      </c>
      <c r="P49" s="25">
        <f t="shared" si="22"/>
        <v>0.3115264797507788</v>
      </c>
      <c r="Q49" s="17">
        <v>845</v>
      </c>
      <c r="R49" s="17">
        <v>5</v>
      </c>
      <c r="S49" s="17">
        <v>650</v>
      </c>
      <c r="T49" s="17">
        <f t="shared" si="23"/>
        <v>655</v>
      </c>
      <c r="U49" s="25">
        <f t="shared" si="24"/>
        <v>0.76335877862595425</v>
      </c>
      <c r="V49" s="17">
        <v>22</v>
      </c>
      <c r="W49" s="25">
        <f t="shared" si="25"/>
        <v>3.3587786259541983</v>
      </c>
      <c r="X49" s="17">
        <v>633</v>
      </c>
      <c r="Y49" s="17">
        <v>0</v>
      </c>
      <c r="Z49" s="17">
        <v>0</v>
      </c>
      <c r="AA49" s="17">
        <v>183</v>
      </c>
      <c r="AB49" s="25">
        <f t="shared" si="26"/>
        <v>27.938931297709924</v>
      </c>
      <c r="AC49" s="17">
        <v>11</v>
      </c>
      <c r="AD49" s="25">
        <f t="shared" si="27"/>
        <v>1.6793893129770991</v>
      </c>
      <c r="AE49" s="17">
        <v>68</v>
      </c>
      <c r="AF49" s="25">
        <f t="shared" si="28"/>
        <v>10.381679389312977</v>
      </c>
      <c r="AG49" s="17">
        <v>40</v>
      </c>
      <c r="AH49" s="25">
        <f t="shared" si="29"/>
        <v>6.106870229007634</v>
      </c>
      <c r="AI49" s="17">
        <v>198</v>
      </c>
      <c r="AJ49" s="25">
        <f t="shared" si="30"/>
        <v>30.229007633587788</v>
      </c>
      <c r="AK49" s="17">
        <v>53</v>
      </c>
      <c r="AL49" s="25">
        <f t="shared" si="31"/>
        <v>8.0916030534351151</v>
      </c>
      <c r="AM49" s="17">
        <v>7</v>
      </c>
      <c r="AN49" s="25">
        <f t="shared" si="32"/>
        <v>1.0687022900763359</v>
      </c>
      <c r="AO49" s="17">
        <v>2</v>
      </c>
      <c r="AP49" s="25">
        <f t="shared" si="33"/>
        <v>0.30534351145038169</v>
      </c>
      <c r="AQ49" s="17">
        <v>5</v>
      </c>
      <c r="AR49" s="25">
        <f t="shared" si="34"/>
        <v>0.76335877862595425</v>
      </c>
      <c r="AS49" s="17">
        <v>13</v>
      </c>
      <c r="AT49" s="25">
        <f t="shared" si="35"/>
        <v>1.9847328244274809</v>
      </c>
      <c r="AU49" s="17">
        <v>1</v>
      </c>
      <c r="AV49" s="25">
        <f t="shared" si="36"/>
        <v>0.15267175572519084</v>
      </c>
      <c r="AW49" s="17">
        <v>10</v>
      </c>
      <c r="AX49" s="25">
        <f t="shared" si="37"/>
        <v>1.5267175572519085</v>
      </c>
      <c r="AY49" s="17">
        <v>10</v>
      </c>
      <c r="AZ49" s="25">
        <f t="shared" si="38"/>
        <v>1.5267175572519085</v>
      </c>
      <c r="BA49" s="17">
        <v>32</v>
      </c>
      <c r="BB49" s="25">
        <f t="shared" si="39"/>
        <v>4.885496183206107</v>
      </c>
      <c r="BC49" s="17" t="s">
        <v>314</v>
      </c>
      <c r="BD49" s="73">
        <v>2017</v>
      </c>
      <c r="BF49" s="26">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24.608391608391628</v>
      </c>
      <c r="BG49" s="26">
        <f>2*(Дума_партии[[#This Row],[5. Всероссийская политическая партия "ЕДИНАЯ РОССИЯ"]]-(AB$203/100)*Дума_партии[[#This Row],[Число действительных избирательных бюллетеней]])</f>
        <v>35.190000000000055</v>
      </c>
      <c r="BH49" s="26">
        <f>(Дума_партии[[#This Row],[Вброс]]+Дума_партии[[#This Row],[Перекладывание]])/2</f>
        <v>29.899195804195841</v>
      </c>
    </row>
    <row r="50" spans="1:60" s="17" customFormat="1" x14ac:dyDescent="0.4">
      <c r="A50" s="17" t="s">
        <v>49</v>
      </c>
      <c r="B50" s="17" t="s">
        <v>50</v>
      </c>
      <c r="C50" s="17" t="s">
        <v>51</v>
      </c>
      <c r="D50" s="17" t="s">
        <v>138</v>
      </c>
      <c r="E50" s="17" t="s">
        <v>178</v>
      </c>
      <c r="F50" s="24">
        <f t="shared" ca="1" si="20"/>
        <v>3916</v>
      </c>
      <c r="G50" s="17" t="s">
        <v>322</v>
      </c>
      <c r="H50" s="17" t="str">
        <f>LEFT(Дума_партии[[#This Row],[tik]],4)&amp;"."&amp;IF(ISNUMBER(VALUE(RIGHT(Дума_партии[[#This Row],[tik]]))),RIGHT(Дума_партии[[#This Row],[tik]]),"")</f>
        <v>Один.</v>
      </c>
      <c r="I50" s="17">
        <v>1548</v>
      </c>
      <c r="J50" s="24">
        <f>Дума_партии[[#This Row],[Число избирателей, внесенных в список избирателей на момент окончания голосования]]</f>
        <v>1548</v>
      </c>
      <c r="K50" s="17">
        <v>1400</v>
      </c>
      <c r="L50" s="17">
        <v>0</v>
      </c>
      <c r="M50" s="17">
        <v>705</v>
      </c>
      <c r="N50" s="17">
        <v>4</v>
      </c>
      <c r="O50" s="25">
        <f t="shared" si="21"/>
        <v>45.801033591731269</v>
      </c>
      <c r="P50" s="25">
        <f t="shared" si="22"/>
        <v>0.25839793281653745</v>
      </c>
      <c r="Q50" s="17">
        <v>691</v>
      </c>
      <c r="R50" s="17">
        <v>4</v>
      </c>
      <c r="S50" s="17">
        <v>705</v>
      </c>
      <c r="T50" s="17">
        <f t="shared" si="23"/>
        <v>709</v>
      </c>
      <c r="U50" s="25">
        <f t="shared" si="24"/>
        <v>0.56417489421720735</v>
      </c>
      <c r="V50" s="17">
        <v>11</v>
      </c>
      <c r="W50" s="25">
        <f t="shared" si="25"/>
        <v>1.5514809590973202</v>
      </c>
      <c r="X50" s="17">
        <v>698</v>
      </c>
      <c r="Y50" s="17">
        <v>0</v>
      </c>
      <c r="Z50" s="17">
        <v>0</v>
      </c>
      <c r="AA50" s="17">
        <v>174</v>
      </c>
      <c r="AB50" s="25">
        <f t="shared" si="26"/>
        <v>24.541607898448518</v>
      </c>
      <c r="AC50" s="17">
        <v>8</v>
      </c>
      <c r="AD50" s="25">
        <f t="shared" si="27"/>
        <v>1.1283497884344147</v>
      </c>
      <c r="AE50" s="17">
        <v>57</v>
      </c>
      <c r="AF50" s="25">
        <f t="shared" si="28"/>
        <v>8.0394922425952053</v>
      </c>
      <c r="AG50" s="17">
        <v>57</v>
      </c>
      <c r="AH50" s="25">
        <f t="shared" si="29"/>
        <v>8.0394922425952053</v>
      </c>
      <c r="AI50" s="17">
        <v>263</v>
      </c>
      <c r="AJ50" s="25">
        <f t="shared" si="30"/>
        <v>37.094499294781379</v>
      </c>
      <c r="AK50" s="17">
        <v>49</v>
      </c>
      <c r="AL50" s="25">
        <f t="shared" si="31"/>
        <v>6.9111424541607898</v>
      </c>
      <c r="AM50" s="17">
        <v>17</v>
      </c>
      <c r="AN50" s="25">
        <f t="shared" si="32"/>
        <v>2.397743300423131</v>
      </c>
      <c r="AO50" s="17">
        <v>3</v>
      </c>
      <c r="AP50" s="25">
        <f t="shared" si="33"/>
        <v>0.42313117066290551</v>
      </c>
      <c r="AQ50" s="17">
        <v>5</v>
      </c>
      <c r="AR50" s="25">
        <f t="shared" si="34"/>
        <v>0.70521861777150918</v>
      </c>
      <c r="AS50" s="17">
        <v>17</v>
      </c>
      <c r="AT50" s="25">
        <f t="shared" si="35"/>
        <v>2.397743300423131</v>
      </c>
      <c r="AU50" s="17">
        <v>1</v>
      </c>
      <c r="AV50" s="25">
        <f t="shared" si="36"/>
        <v>0.14104372355430184</v>
      </c>
      <c r="AW50" s="17">
        <v>6</v>
      </c>
      <c r="AX50" s="25">
        <f t="shared" si="37"/>
        <v>0.84626234132581102</v>
      </c>
      <c r="AY50" s="17">
        <v>12</v>
      </c>
      <c r="AZ50" s="25">
        <f t="shared" si="38"/>
        <v>1.692524682651622</v>
      </c>
      <c r="BA50" s="17">
        <v>29</v>
      </c>
      <c r="BB50" s="25">
        <f t="shared" si="39"/>
        <v>4.090267983074753</v>
      </c>
      <c r="BC50" s="17" t="s">
        <v>314</v>
      </c>
      <c r="BD50" s="73">
        <v>2017</v>
      </c>
      <c r="BF50" s="26">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89.608391608391628</v>
      </c>
      <c r="BG50" s="26">
        <f>2*(Дума_партии[[#This Row],[5. Всероссийская политическая партия "ЕДИНАЯ РОССИЯ"]]-(AB$203/100)*Дума_партии[[#This Row],[Число действительных избирательных бюллетеней]])</f>
        <v>128.14000000000004</v>
      </c>
      <c r="BH50" s="26">
        <f>(Дума_партии[[#This Row],[Вброс]]+Дума_партии[[#This Row],[Перекладывание]])/2</f>
        <v>108.87419580419584</v>
      </c>
    </row>
    <row r="51" spans="1:60" s="17" customFormat="1" x14ac:dyDescent="0.4">
      <c r="A51" s="17" t="s">
        <v>49</v>
      </c>
      <c r="B51" s="17" t="s">
        <v>50</v>
      </c>
      <c r="C51" s="17" t="s">
        <v>51</v>
      </c>
      <c r="D51" s="17" t="s">
        <v>138</v>
      </c>
      <c r="E51" s="17" t="s">
        <v>179</v>
      </c>
      <c r="F51" s="24">
        <f t="shared" ca="1" si="20"/>
        <v>3917</v>
      </c>
      <c r="G51" s="17" t="s">
        <v>322</v>
      </c>
      <c r="H51" s="17" t="str">
        <f>LEFT(Дума_партии[[#This Row],[tik]],4)&amp;"."&amp;IF(ISNUMBER(VALUE(RIGHT(Дума_партии[[#This Row],[tik]]))),RIGHT(Дума_партии[[#This Row],[tik]]),"")</f>
        <v>Один.</v>
      </c>
      <c r="I51" s="17">
        <v>2237</v>
      </c>
      <c r="J51" s="24">
        <f>Дума_партии[[#This Row],[Число избирателей, внесенных в список избирателей на момент окончания голосования]]</f>
        <v>2237</v>
      </c>
      <c r="K51" s="17">
        <v>1800</v>
      </c>
      <c r="L51" s="17">
        <v>0</v>
      </c>
      <c r="M51" s="17">
        <v>1226</v>
      </c>
      <c r="N51" s="17">
        <v>4</v>
      </c>
      <c r="O51" s="25">
        <f t="shared" si="21"/>
        <v>54.984354045596781</v>
      </c>
      <c r="P51" s="25">
        <f t="shared" si="22"/>
        <v>0.17881090746535538</v>
      </c>
      <c r="Q51" s="17">
        <v>570</v>
      </c>
      <c r="R51" s="17">
        <v>4</v>
      </c>
      <c r="S51" s="17">
        <v>1211</v>
      </c>
      <c r="T51" s="17">
        <f t="shared" si="23"/>
        <v>1215</v>
      </c>
      <c r="U51" s="25">
        <f t="shared" si="24"/>
        <v>0.32921810699588477</v>
      </c>
      <c r="V51" s="17">
        <v>38</v>
      </c>
      <c r="W51" s="25">
        <f t="shared" si="25"/>
        <v>3.1275720164609053</v>
      </c>
      <c r="X51" s="17">
        <v>1177</v>
      </c>
      <c r="Y51" s="17">
        <v>0</v>
      </c>
      <c r="Z51" s="17">
        <v>0</v>
      </c>
      <c r="AA51" s="17">
        <v>262</v>
      </c>
      <c r="AB51" s="25">
        <f t="shared" si="26"/>
        <v>21.563786008230451</v>
      </c>
      <c r="AC51" s="17">
        <v>14</v>
      </c>
      <c r="AD51" s="25">
        <f t="shared" si="27"/>
        <v>1.1522633744855968</v>
      </c>
      <c r="AE51" s="17">
        <v>66</v>
      </c>
      <c r="AF51" s="25">
        <f t="shared" si="28"/>
        <v>5.4320987654320989</v>
      </c>
      <c r="AG51" s="17">
        <v>84</v>
      </c>
      <c r="AH51" s="25">
        <f t="shared" si="29"/>
        <v>6.9135802469135799</v>
      </c>
      <c r="AI51" s="17">
        <v>573</v>
      </c>
      <c r="AJ51" s="25">
        <f t="shared" si="30"/>
        <v>47.160493827160494</v>
      </c>
      <c r="AK51" s="17">
        <v>71</v>
      </c>
      <c r="AL51" s="25">
        <f t="shared" si="31"/>
        <v>5.8436213991769543</v>
      </c>
      <c r="AM51" s="17">
        <v>13</v>
      </c>
      <c r="AN51" s="25">
        <f t="shared" si="32"/>
        <v>1.0699588477366255</v>
      </c>
      <c r="AO51" s="17">
        <v>3</v>
      </c>
      <c r="AP51" s="25">
        <f t="shared" si="33"/>
        <v>0.24691358024691357</v>
      </c>
      <c r="AQ51" s="17">
        <v>14</v>
      </c>
      <c r="AR51" s="25">
        <f t="shared" si="34"/>
        <v>1.1522633744855968</v>
      </c>
      <c r="AS51" s="17">
        <v>16</v>
      </c>
      <c r="AT51" s="25">
        <f t="shared" si="35"/>
        <v>1.3168724279835391</v>
      </c>
      <c r="AU51" s="17">
        <v>1</v>
      </c>
      <c r="AV51" s="25">
        <f t="shared" si="36"/>
        <v>8.2304526748971193E-2</v>
      </c>
      <c r="AW51" s="17">
        <v>15</v>
      </c>
      <c r="AX51" s="25">
        <f t="shared" si="37"/>
        <v>1.2345679012345678</v>
      </c>
      <c r="AY51" s="17">
        <v>15</v>
      </c>
      <c r="AZ51" s="25">
        <f t="shared" si="38"/>
        <v>1.2345679012345678</v>
      </c>
      <c r="BA51" s="17">
        <v>30</v>
      </c>
      <c r="BB51" s="25">
        <f t="shared" si="39"/>
        <v>2.4691358024691357</v>
      </c>
      <c r="BC51" s="17" t="s">
        <v>314</v>
      </c>
      <c r="BD51" s="73">
        <v>2017</v>
      </c>
      <c r="BF51" s="26">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332.24475524475531</v>
      </c>
      <c r="BG51" s="26">
        <f>2*(Дума_партии[[#This Row],[5. Всероссийская политическая партия "ЕДИНАЯ РОССИЯ"]]-(AB$203/100)*Дума_партии[[#This Row],[Число действительных избирательных бюллетеней]])</f>
        <v>475.11</v>
      </c>
      <c r="BH51" s="26">
        <f>(Дума_партии[[#This Row],[Вброс]]+Дума_партии[[#This Row],[Перекладывание]])/2</f>
        <v>403.67737762237766</v>
      </c>
    </row>
    <row r="52" spans="1:60" s="17" customFormat="1" x14ac:dyDescent="0.4">
      <c r="A52" s="17" t="s">
        <v>49</v>
      </c>
      <c r="B52" s="17" t="s">
        <v>50</v>
      </c>
      <c r="C52" s="17" t="s">
        <v>51</v>
      </c>
      <c r="D52" s="17" t="s">
        <v>138</v>
      </c>
      <c r="E52" s="17" t="s">
        <v>180</v>
      </c>
      <c r="F52" s="24">
        <f t="shared" ca="1" si="20"/>
        <v>3919</v>
      </c>
      <c r="G52" s="17" t="s">
        <v>323</v>
      </c>
      <c r="H52" s="17" t="str">
        <f>LEFT(Дума_партии[[#This Row],[tik]],4)&amp;"."&amp;IF(ISNUMBER(VALUE(RIGHT(Дума_партии[[#This Row],[tik]]))),RIGHT(Дума_партии[[#This Row],[tik]]),"")</f>
        <v>Один.</v>
      </c>
      <c r="I52" s="17">
        <v>1881</v>
      </c>
      <c r="J52" s="24">
        <f>Дума_партии[[#This Row],[Число избирателей, внесенных в список избирателей на момент окончания голосования]]</f>
        <v>1881</v>
      </c>
      <c r="K52" s="17">
        <v>1500</v>
      </c>
      <c r="L52" s="17">
        <v>0</v>
      </c>
      <c r="M52" s="17">
        <v>642</v>
      </c>
      <c r="N52" s="17">
        <v>129</v>
      </c>
      <c r="O52" s="25">
        <f t="shared" si="21"/>
        <v>40.988835725677831</v>
      </c>
      <c r="P52" s="25">
        <f t="shared" si="22"/>
        <v>6.8580542264752795</v>
      </c>
      <c r="Q52" s="17">
        <v>729</v>
      </c>
      <c r="R52" s="17">
        <v>129</v>
      </c>
      <c r="S52" s="17">
        <v>642</v>
      </c>
      <c r="T52" s="17">
        <f t="shared" si="23"/>
        <v>771</v>
      </c>
      <c r="U52" s="25">
        <f t="shared" si="24"/>
        <v>16.731517509727627</v>
      </c>
      <c r="V52" s="17">
        <v>19</v>
      </c>
      <c r="W52" s="25">
        <f t="shared" si="25"/>
        <v>2.4643320363164722</v>
      </c>
      <c r="X52" s="17">
        <v>752</v>
      </c>
      <c r="Y52" s="17">
        <v>0</v>
      </c>
      <c r="Z52" s="17">
        <v>0</v>
      </c>
      <c r="AA52" s="17">
        <v>168</v>
      </c>
      <c r="AB52" s="25">
        <f t="shared" si="26"/>
        <v>21.789883268482491</v>
      </c>
      <c r="AC52" s="17">
        <v>11</v>
      </c>
      <c r="AD52" s="25">
        <f t="shared" si="27"/>
        <v>1.4267185473411155</v>
      </c>
      <c r="AE52" s="17">
        <v>68</v>
      </c>
      <c r="AF52" s="25">
        <f t="shared" si="28"/>
        <v>8.8197146562905324</v>
      </c>
      <c r="AG52" s="17">
        <v>86</v>
      </c>
      <c r="AH52" s="25">
        <f t="shared" si="29"/>
        <v>11.154345006485084</v>
      </c>
      <c r="AI52" s="17">
        <v>309</v>
      </c>
      <c r="AJ52" s="25">
        <f t="shared" si="30"/>
        <v>40.077821011673151</v>
      </c>
      <c r="AK52" s="17">
        <v>37</v>
      </c>
      <c r="AL52" s="25">
        <f t="shared" si="31"/>
        <v>4.7989623865110245</v>
      </c>
      <c r="AM52" s="17">
        <v>7</v>
      </c>
      <c r="AN52" s="25">
        <f t="shared" si="32"/>
        <v>0.90791180285343709</v>
      </c>
      <c r="AO52" s="17">
        <v>3</v>
      </c>
      <c r="AP52" s="25">
        <f t="shared" si="33"/>
        <v>0.38910505836575876</v>
      </c>
      <c r="AQ52" s="17">
        <v>3</v>
      </c>
      <c r="AR52" s="25">
        <f t="shared" si="34"/>
        <v>0.38910505836575876</v>
      </c>
      <c r="AS52" s="17">
        <v>16</v>
      </c>
      <c r="AT52" s="25">
        <f t="shared" si="35"/>
        <v>2.0752269779507135</v>
      </c>
      <c r="AU52" s="17">
        <v>0</v>
      </c>
      <c r="AV52" s="25">
        <f t="shared" si="36"/>
        <v>0</v>
      </c>
      <c r="AW52" s="17">
        <v>7</v>
      </c>
      <c r="AX52" s="25">
        <f t="shared" si="37"/>
        <v>0.90791180285343709</v>
      </c>
      <c r="AY52" s="17">
        <v>12</v>
      </c>
      <c r="AZ52" s="25">
        <f t="shared" si="38"/>
        <v>1.556420233463035</v>
      </c>
      <c r="BA52" s="17">
        <v>25</v>
      </c>
      <c r="BB52" s="25">
        <f t="shared" si="39"/>
        <v>3.2425421530479897</v>
      </c>
      <c r="BC52" s="17" t="s">
        <v>314</v>
      </c>
      <c r="BD52" s="73">
        <v>2017</v>
      </c>
      <c r="BF52" s="26">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132.41958041958046</v>
      </c>
      <c r="BG52" s="26">
        <f>2*(Дума_партии[[#This Row],[5. Всероссийская политическая партия "ЕДИНАЯ РОССИЯ"]]-(AB$203/100)*Дума_партии[[#This Row],[Число действительных избирательных бюллетеней]])</f>
        <v>189.36</v>
      </c>
      <c r="BH52" s="26">
        <f>(Дума_партии[[#This Row],[Вброс]]+Дума_партии[[#This Row],[Перекладывание]])/2</f>
        <v>160.88979020979025</v>
      </c>
    </row>
    <row r="53" spans="1:60" s="17" customFormat="1" x14ac:dyDescent="0.4">
      <c r="A53" s="17" t="s">
        <v>49</v>
      </c>
      <c r="B53" s="17" t="s">
        <v>50</v>
      </c>
      <c r="C53" s="17" t="s">
        <v>51</v>
      </c>
      <c r="D53" s="17" t="s">
        <v>138</v>
      </c>
      <c r="E53" s="17" t="s">
        <v>181</v>
      </c>
      <c r="F53" s="24">
        <f t="shared" ca="1" si="20"/>
        <v>3921</v>
      </c>
      <c r="G53" s="17" t="s">
        <v>322</v>
      </c>
      <c r="H53" s="17" t="str">
        <f>LEFT(Дума_партии[[#This Row],[tik]],4)&amp;"."&amp;IF(ISNUMBER(VALUE(RIGHT(Дума_партии[[#This Row],[tik]]))),RIGHT(Дума_партии[[#This Row],[tik]]),"")</f>
        <v>Один.</v>
      </c>
      <c r="I53" s="17">
        <v>1667</v>
      </c>
      <c r="J53" s="24">
        <f>Дума_партии[[#This Row],[Число избирателей, внесенных в список избирателей на момент окончания голосования]]</f>
        <v>1667</v>
      </c>
      <c r="K53" s="17">
        <v>1500</v>
      </c>
      <c r="L53" s="17">
        <v>0</v>
      </c>
      <c r="M53" s="17">
        <v>623</v>
      </c>
      <c r="N53" s="17">
        <v>5</v>
      </c>
      <c r="O53" s="25">
        <f t="shared" si="21"/>
        <v>37.672465506898618</v>
      </c>
      <c r="P53" s="25">
        <f t="shared" si="22"/>
        <v>0.29994001199760045</v>
      </c>
      <c r="Q53" s="17">
        <v>872</v>
      </c>
      <c r="R53" s="17">
        <v>5</v>
      </c>
      <c r="S53" s="17">
        <v>623</v>
      </c>
      <c r="T53" s="17">
        <f t="shared" si="23"/>
        <v>628</v>
      </c>
      <c r="U53" s="25">
        <f t="shared" si="24"/>
        <v>0.79617834394904463</v>
      </c>
      <c r="V53" s="17">
        <v>17</v>
      </c>
      <c r="W53" s="25">
        <f t="shared" si="25"/>
        <v>2.7070063694267517</v>
      </c>
      <c r="X53" s="17">
        <v>611</v>
      </c>
      <c r="Y53" s="17">
        <v>0</v>
      </c>
      <c r="Z53" s="17">
        <v>0</v>
      </c>
      <c r="AA53" s="17">
        <v>167</v>
      </c>
      <c r="AB53" s="25">
        <f t="shared" si="26"/>
        <v>26.592356687898089</v>
      </c>
      <c r="AC53" s="17">
        <v>11</v>
      </c>
      <c r="AD53" s="25">
        <f t="shared" si="27"/>
        <v>1.7515923566878981</v>
      </c>
      <c r="AE53" s="17">
        <v>68</v>
      </c>
      <c r="AF53" s="25">
        <f t="shared" si="28"/>
        <v>10.828025477707007</v>
      </c>
      <c r="AG53" s="17">
        <v>50</v>
      </c>
      <c r="AH53" s="25">
        <f t="shared" si="29"/>
        <v>7.9617834394904454</v>
      </c>
      <c r="AI53" s="17">
        <v>189</v>
      </c>
      <c r="AJ53" s="25">
        <f t="shared" si="30"/>
        <v>30.095541401273884</v>
      </c>
      <c r="AK53" s="17">
        <v>45</v>
      </c>
      <c r="AL53" s="25">
        <f t="shared" si="31"/>
        <v>7.1656050955414017</v>
      </c>
      <c r="AM53" s="17">
        <v>10</v>
      </c>
      <c r="AN53" s="25">
        <f t="shared" si="32"/>
        <v>1.5923566878980893</v>
      </c>
      <c r="AO53" s="17">
        <v>7</v>
      </c>
      <c r="AP53" s="25">
        <f t="shared" si="33"/>
        <v>1.1146496815286624</v>
      </c>
      <c r="AQ53" s="17">
        <v>8</v>
      </c>
      <c r="AR53" s="25">
        <f t="shared" si="34"/>
        <v>1.2738853503184713</v>
      </c>
      <c r="AS53" s="17">
        <v>19</v>
      </c>
      <c r="AT53" s="25">
        <f t="shared" si="35"/>
        <v>3.0254777070063694</v>
      </c>
      <c r="AU53" s="17">
        <v>1</v>
      </c>
      <c r="AV53" s="25">
        <f t="shared" si="36"/>
        <v>0.15923566878980891</v>
      </c>
      <c r="AW53" s="17">
        <v>4</v>
      </c>
      <c r="AX53" s="25">
        <f t="shared" si="37"/>
        <v>0.63694267515923564</v>
      </c>
      <c r="AY53" s="17">
        <v>7</v>
      </c>
      <c r="AZ53" s="25">
        <f t="shared" si="38"/>
        <v>1.1146496815286624</v>
      </c>
      <c r="BA53" s="17">
        <v>25</v>
      </c>
      <c r="BB53" s="25">
        <f t="shared" si="39"/>
        <v>3.9808917197452227</v>
      </c>
      <c r="BC53" s="17" t="s">
        <v>314</v>
      </c>
      <c r="BD53" s="73">
        <v>2017</v>
      </c>
      <c r="BF53" s="26">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20.790209790209815</v>
      </c>
      <c r="BG53" s="26">
        <f>2*(Дума_партии[[#This Row],[5. Всероссийская политическая партия "ЕДИНАЯ РОССИЯ"]]-(AB$203/100)*Дума_партии[[#This Row],[Число действительных избирательных бюллетеней]])</f>
        <v>29.730000000000018</v>
      </c>
      <c r="BH53" s="26">
        <f>(Дума_партии[[#This Row],[Вброс]]+Дума_партии[[#This Row],[Перекладывание]])/2</f>
        <v>25.260104895104917</v>
      </c>
    </row>
    <row r="54" spans="1:60" s="17" customFormat="1" x14ac:dyDescent="0.4">
      <c r="A54" s="17" t="s">
        <v>49</v>
      </c>
      <c r="B54" s="17" t="s">
        <v>50</v>
      </c>
      <c r="C54" s="17" t="s">
        <v>51</v>
      </c>
      <c r="D54" s="17" t="s">
        <v>138</v>
      </c>
      <c r="E54" s="17" t="s">
        <v>182</v>
      </c>
      <c r="F54" s="24">
        <f t="shared" ca="1" si="20"/>
        <v>3923</v>
      </c>
      <c r="G54" s="17" t="s">
        <v>322</v>
      </c>
      <c r="H54" s="17" t="str">
        <f>LEFT(Дума_партии[[#This Row],[tik]],4)&amp;"."&amp;IF(ISNUMBER(VALUE(RIGHT(Дума_партии[[#This Row],[tik]]))),RIGHT(Дума_партии[[#This Row],[tik]]),"")</f>
        <v>Один.</v>
      </c>
      <c r="I54" s="17">
        <v>1674</v>
      </c>
      <c r="J54" s="24">
        <f>Дума_партии[[#This Row],[Число избирателей, внесенных в список избирателей на момент окончания голосования]]</f>
        <v>1674</v>
      </c>
      <c r="K54" s="17">
        <v>1500</v>
      </c>
      <c r="L54" s="17">
        <v>0</v>
      </c>
      <c r="M54" s="17">
        <v>711</v>
      </c>
      <c r="N54" s="17">
        <v>5</v>
      </c>
      <c r="O54" s="25">
        <f t="shared" si="21"/>
        <v>42.771804062126641</v>
      </c>
      <c r="P54" s="25">
        <f t="shared" si="22"/>
        <v>0.29868578255675032</v>
      </c>
      <c r="Q54" s="17">
        <v>784</v>
      </c>
      <c r="R54" s="17">
        <v>5</v>
      </c>
      <c r="S54" s="17">
        <v>711</v>
      </c>
      <c r="T54" s="17">
        <f t="shared" si="23"/>
        <v>716</v>
      </c>
      <c r="U54" s="25">
        <f t="shared" si="24"/>
        <v>0.6983240223463687</v>
      </c>
      <c r="V54" s="17">
        <v>26</v>
      </c>
      <c r="W54" s="25">
        <f t="shared" si="25"/>
        <v>3.6312849162011172</v>
      </c>
      <c r="X54" s="17">
        <v>690</v>
      </c>
      <c r="Y54" s="17">
        <v>0</v>
      </c>
      <c r="Z54" s="17">
        <v>0</v>
      </c>
      <c r="AA54" s="17">
        <v>216</v>
      </c>
      <c r="AB54" s="25">
        <f t="shared" si="26"/>
        <v>30.16759776536313</v>
      </c>
      <c r="AC54" s="17">
        <v>10</v>
      </c>
      <c r="AD54" s="25">
        <f t="shared" si="27"/>
        <v>1.3966480446927374</v>
      </c>
      <c r="AE54" s="17">
        <v>57</v>
      </c>
      <c r="AF54" s="25">
        <f t="shared" si="28"/>
        <v>7.960893854748603</v>
      </c>
      <c r="AG54" s="17">
        <v>52</v>
      </c>
      <c r="AH54" s="25">
        <f t="shared" si="29"/>
        <v>7.2625698324022343</v>
      </c>
      <c r="AI54" s="17">
        <v>208</v>
      </c>
      <c r="AJ54" s="25">
        <f t="shared" si="30"/>
        <v>29.050279329608937</v>
      </c>
      <c r="AK54" s="17">
        <v>54</v>
      </c>
      <c r="AL54" s="25">
        <f t="shared" si="31"/>
        <v>7.5418994413407825</v>
      </c>
      <c r="AM54" s="17">
        <v>11</v>
      </c>
      <c r="AN54" s="25">
        <f t="shared" si="32"/>
        <v>1.5363128491620113</v>
      </c>
      <c r="AO54" s="17">
        <v>4</v>
      </c>
      <c r="AP54" s="25">
        <f t="shared" si="33"/>
        <v>0.55865921787709494</v>
      </c>
      <c r="AQ54" s="17">
        <v>8</v>
      </c>
      <c r="AR54" s="25">
        <f t="shared" si="34"/>
        <v>1.1173184357541899</v>
      </c>
      <c r="AS54" s="17">
        <v>16</v>
      </c>
      <c r="AT54" s="25">
        <f t="shared" si="35"/>
        <v>2.2346368715083798</v>
      </c>
      <c r="AU54" s="17">
        <v>0</v>
      </c>
      <c r="AV54" s="25">
        <f t="shared" si="36"/>
        <v>0</v>
      </c>
      <c r="AW54" s="17">
        <v>7</v>
      </c>
      <c r="AX54" s="25">
        <f t="shared" si="37"/>
        <v>0.97765363128491622</v>
      </c>
      <c r="AY54" s="17">
        <v>15</v>
      </c>
      <c r="AZ54" s="25">
        <f t="shared" si="38"/>
        <v>2.0949720670391061</v>
      </c>
      <c r="BA54" s="17">
        <v>32</v>
      </c>
      <c r="BB54" s="25">
        <f t="shared" si="39"/>
        <v>4.4692737430167595</v>
      </c>
      <c r="BC54" s="17" t="s">
        <v>314</v>
      </c>
      <c r="BD54" s="73">
        <v>2017</v>
      </c>
      <c r="BE54" s="17">
        <v>1</v>
      </c>
      <c r="BF54" s="26">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15.874125874125895</v>
      </c>
      <c r="BG54" s="26">
        <f>2*(Дума_партии[[#This Row],[5. Всероссийская политическая партия "ЕДИНАЯ РОССИЯ"]]-(AB$203/100)*Дума_партии[[#This Row],[Число действительных избирательных бюллетеней]])</f>
        <v>22.700000000000045</v>
      </c>
      <c r="BH54" s="26">
        <f>(Дума_партии[[#This Row],[Вброс]]+Дума_партии[[#This Row],[Перекладывание]])/2</f>
        <v>19.28706293706297</v>
      </c>
    </row>
    <row r="55" spans="1:60" s="17" customFormat="1" x14ac:dyDescent="0.4">
      <c r="A55" s="17" t="s">
        <v>49</v>
      </c>
      <c r="B55" s="17" t="s">
        <v>50</v>
      </c>
      <c r="C55" s="17" t="s">
        <v>51</v>
      </c>
      <c r="D55" s="17" t="s">
        <v>138</v>
      </c>
      <c r="E55" s="17" t="s">
        <v>183</v>
      </c>
      <c r="F55" s="24">
        <f t="shared" ca="1" si="20"/>
        <v>3925</v>
      </c>
      <c r="G55" s="17" t="s">
        <v>324</v>
      </c>
      <c r="H55" s="17" t="str">
        <f>LEFT(Дума_партии[[#This Row],[tik]],4)&amp;"."&amp;IF(ISNUMBER(VALUE(RIGHT(Дума_партии[[#This Row],[tik]]))),RIGHT(Дума_партии[[#This Row],[tik]]),"")</f>
        <v>Один.</v>
      </c>
      <c r="I55" s="17">
        <v>525</v>
      </c>
      <c r="J55" s="24">
        <f>Дума_партии[[#This Row],[Число избирателей, внесенных в список избирателей на момент окончания голосования]]</f>
        <v>525</v>
      </c>
      <c r="K55" s="17">
        <v>500</v>
      </c>
      <c r="L55" s="17">
        <v>0</v>
      </c>
      <c r="M55" s="17">
        <v>143</v>
      </c>
      <c r="N55" s="17">
        <v>268</v>
      </c>
      <c r="O55" s="25">
        <f t="shared" si="21"/>
        <v>78.285714285714292</v>
      </c>
      <c r="P55" s="25">
        <f t="shared" si="22"/>
        <v>51.047619047619051</v>
      </c>
      <c r="Q55" s="17">
        <v>89</v>
      </c>
      <c r="R55" s="17">
        <v>268</v>
      </c>
      <c r="S55" s="17">
        <v>143</v>
      </c>
      <c r="T55" s="17">
        <f t="shared" si="23"/>
        <v>411</v>
      </c>
      <c r="U55" s="25">
        <f t="shared" si="24"/>
        <v>65.206812652068123</v>
      </c>
      <c r="V55" s="17">
        <v>6</v>
      </c>
      <c r="W55" s="25">
        <f t="shared" si="25"/>
        <v>1.4598540145985401</v>
      </c>
      <c r="X55" s="17">
        <v>405</v>
      </c>
      <c r="Y55" s="17">
        <v>0</v>
      </c>
      <c r="Z55" s="17">
        <v>0</v>
      </c>
      <c r="AA55" s="17">
        <v>140</v>
      </c>
      <c r="AB55" s="25">
        <f t="shared" si="26"/>
        <v>34.063260340632603</v>
      </c>
      <c r="AC55" s="17">
        <v>3</v>
      </c>
      <c r="AD55" s="25">
        <f t="shared" si="27"/>
        <v>0.72992700729927007</v>
      </c>
      <c r="AE55" s="17">
        <v>28</v>
      </c>
      <c r="AF55" s="25">
        <f t="shared" si="28"/>
        <v>6.8126520681265204</v>
      </c>
      <c r="AG55" s="17">
        <v>13</v>
      </c>
      <c r="AH55" s="25">
        <f t="shared" si="29"/>
        <v>3.1630170316301705</v>
      </c>
      <c r="AI55" s="17">
        <v>174</v>
      </c>
      <c r="AJ55" s="25">
        <f t="shared" si="30"/>
        <v>42.335766423357661</v>
      </c>
      <c r="AK55" s="17">
        <v>24</v>
      </c>
      <c r="AL55" s="25">
        <f t="shared" si="31"/>
        <v>5.8394160583941606</v>
      </c>
      <c r="AM55" s="17">
        <v>2</v>
      </c>
      <c r="AN55" s="25">
        <f t="shared" si="32"/>
        <v>0.48661800486618007</v>
      </c>
      <c r="AO55" s="17">
        <v>0</v>
      </c>
      <c r="AP55" s="25">
        <f t="shared" si="33"/>
        <v>0</v>
      </c>
      <c r="AQ55" s="17">
        <v>4</v>
      </c>
      <c r="AR55" s="25">
        <f t="shared" si="34"/>
        <v>0.97323600973236013</v>
      </c>
      <c r="AS55" s="17">
        <v>4</v>
      </c>
      <c r="AT55" s="25">
        <f t="shared" si="35"/>
        <v>0.97323600973236013</v>
      </c>
      <c r="AU55" s="17">
        <v>0</v>
      </c>
      <c r="AV55" s="25">
        <f t="shared" si="36"/>
        <v>0</v>
      </c>
      <c r="AW55" s="17">
        <v>0</v>
      </c>
      <c r="AX55" s="25">
        <f t="shared" si="37"/>
        <v>0</v>
      </c>
      <c r="AY55" s="17">
        <v>5</v>
      </c>
      <c r="AZ55" s="25">
        <f t="shared" si="38"/>
        <v>1.2165450121654502</v>
      </c>
      <c r="BA55" s="17">
        <v>8</v>
      </c>
      <c r="BB55" s="25">
        <f t="shared" si="39"/>
        <v>1.9464720194647203</v>
      </c>
      <c r="BC55" s="17" t="s">
        <v>314</v>
      </c>
      <c r="BD55" s="17" t="s">
        <v>455</v>
      </c>
      <c r="BF55" s="26">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81.923076923076934</v>
      </c>
      <c r="BG55" s="26">
        <f>2*(Дума_партии[[#This Row],[5. Всероссийская политическая партия "ЕДИНАЯ РОССИЯ"]]-(AB$203/100)*Дума_партии[[#This Row],[Число действительных избирательных бюллетеней]])</f>
        <v>117.15</v>
      </c>
      <c r="BH55" s="26">
        <f>(Дума_партии[[#This Row],[Вброс]]+Дума_партии[[#This Row],[Перекладывание]])/2</f>
        <v>99.53653846153847</v>
      </c>
    </row>
    <row r="56" spans="1:60" x14ac:dyDescent="0.4">
      <c r="A56" t="s">
        <v>49</v>
      </c>
      <c r="B56" t="s">
        <v>50</v>
      </c>
      <c r="C56" t="s">
        <v>51</v>
      </c>
      <c r="D56" t="s">
        <v>138</v>
      </c>
      <c r="E56" t="s">
        <v>184</v>
      </c>
      <c r="F56" s="8">
        <f t="shared" ca="1" si="20"/>
        <v>3926</v>
      </c>
      <c r="G56" t="s">
        <v>325</v>
      </c>
      <c r="H56" s="1" t="str">
        <f>LEFT(Дума_партии[[#This Row],[tik]],4)&amp;"."&amp;IF(ISNUMBER(VALUE(RIGHT(Дума_партии[[#This Row],[tik]]))),RIGHT(Дума_партии[[#This Row],[tik]]),"")</f>
        <v>Один.</v>
      </c>
      <c r="I56">
        <v>1782</v>
      </c>
      <c r="J56" s="8">
        <f>Дума_партии[[#This Row],[Число избирателей, внесенных в список избирателей на момент окончания голосования]]</f>
        <v>1782</v>
      </c>
      <c r="K56">
        <v>1500</v>
      </c>
      <c r="L56">
        <v>0</v>
      </c>
      <c r="M56">
        <v>596</v>
      </c>
      <c r="N56">
        <v>42</v>
      </c>
      <c r="O56" s="3">
        <f t="shared" si="21"/>
        <v>35.802469135802468</v>
      </c>
      <c r="P56" s="3">
        <f t="shared" si="22"/>
        <v>2.3569023569023568</v>
      </c>
      <c r="Q56">
        <v>862</v>
      </c>
      <c r="R56">
        <v>42</v>
      </c>
      <c r="S56">
        <v>596</v>
      </c>
      <c r="T56" s="1">
        <f t="shared" si="23"/>
        <v>638</v>
      </c>
      <c r="U56" s="3">
        <f t="shared" si="24"/>
        <v>6.5830721003134798</v>
      </c>
      <c r="V56">
        <v>21</v>
      </c>
      <c r="W56" s="3">
        <f t="shared" si="25"/>
        <v>3.2915360501567399</v>
      </c>
      <c r="X56">
        <v>617</v>
      </c>
      <c r="Y56">
        <v>0</v>
      </c>
      <c r="Z56">
        <v>0</v>
      </c>
      <c r="AA56">
        <v>177</v>
      </c>
      <c r="AB56" s="3">
        <f t="shared" si="26"/>
        <v>27.742946708463951</v>
      </c>
      <c r="AC56">
        <v>12</v>
      </c>
      <c r="AD56" s="3">
        <f t="shared" si="27"/>
        <v>1.8808777429467085</v>
      </c>
      <c r="AE56">
        <v>44</v>
      </c>
      <c r="AF56" s="3">
        <f t="shared" si="28"/>
        <v>6.8965517241379306</v>
      </c>
      <c r="AG56">
        <v>36</v>
      </c>
      <c r="AH56" s="3">
        <f t="shared" si="29"/>
        <v>5.6426332288401255</v>
      </c>
      <c r="AI56">
        <v>207</v>
      </c>
      <c r="AJ56" s="3">
        <f t="shared" si="30"/>
        <v>32.445141065830718</v>
      </c>
      <c r="AK56">
        <v>56</v>
      </c>
      <c r="AL56" s="3">
        <f t="shared" si="31"/>
        <v>8.7774294670846391</v>
      </c>
      <c r="AM56">
        <v>14</v>
      </c>
      <c r="AN56" s="3">
        <f t="shared" si="32"/>
        <v>2.1943573667711598</v>
      </c>
      <c r="AO56">
        <v>7</v>
      </c>
      <c r="AP56" s="3">
        <f t="shared" si="33"/>
        <v>1.0971786833855799</v>
      </c>
      <c r="AQ56">
        <v>4</v>
      </c>
      <c r="AR56" s="3">
        <f t="shared" si="34"/>
        <v>0.62695924764890287</v>
      </c>
      <c r="AS56">
        <v>21</v>
      </c>
      <c r="AT56" s="3">
        <f t="shared" si="35"/>
        <v>3.2915360501567399</v>
      </c>
      <c r="AU56">
        <v>0</v>
      </c>
      <c r="AV56" s="3">
        <f t="shared" si="36"/>
        <v>0</v>
      </c>
      <c r="AW56">
        <v>5</v>
      </c>
      <c r="AX56" s="3">
        <f t="shared" si="37"/>
        <v>0.78369905956112851</v>
      </c>
      <c r="AY56">
        <v>7</v>
      </c>
      <c r="AZ56" s="3">
        <f t="shared" si="38"/>
        <v>1.0971786833855799</v>
      </c>
      <c r="BA56">
        <v>27</v>
      </c>
      <c r="BB56" s="3">
        <f t="shared" si="39"/>
        <v>4.2319749216300941</v>
      </c>
      <c r="BC56" t="s">
        <v>314</v>
      </c>
      <c r="BD56" s="72">
        <v>2017</v>
      </c>
      <c r="BE56" s="1"/>
      <c r="BF56"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43.573426573426588</v>
      </c>
      <c r="BG56" s="10">
        <f>2*(Дума_партии[[#This Row],[5. Всероссийская политическая партия "ЕДИНАЯ РОССИЯ"]]-(AB$203/100)*Дума_партии[[#This Row],[Число действительных избирательных бюллетеней]])</f>
        <v>62.31</v>
      </c>
      <c r="BH56" s="10">
        <f>(Дума_партии[[#This Row],[Вброс]]+Дума_партии[[#This Row],[Перекладывание]])/2</f>
        <v>52.941713286713295</v>
      </c>
    </row>
    <row r="57" spans="1:60" x14ac:dyDescent="0.4">
      <c r="A57" t="s">
        <v>49</v>
      </c>
      <c r="B57" t="s">
        <v>50</v>
      </c>
      <c r="C57" t="s">
        <v>51</v>
      </c>
      <c r="D57" t="s">
        <v>138</v>
      </c>
      <c r="E57" t="s">
        <v>185</v>
      </c>
      <c r="F57" s="8">
        <f t="shared" ca="1" si="20"/>
        <v>3929</v>
      </c>
      <c r="G57" t="s">
        <v>325</v>
      </c>
      <c r="H57" s="1" t="str">
        <f>LEFT(Дума_партии[[#This Row],[tik]],4)&amp;"."&amp;IF(ISNUMBER(VALUE(RIGHT(Дума_партии[[#This Row],[tik]]))),RIGHT(Дума_партии[[#This Row],[tik]]),"")</f>
        <v>Один.</v>
      </c>
      <c r="I57">
        <v>1457</v>
      </c>
      <c r="J57" s="8">
        <f>Дума_партии[[#This Row],[Число избирателей, внесенных в список избирателей на момент окончания голосования]]</f>
        <v>1457</v>
      </c>
      <c r="K57">
        <v>1300</v>
      </c>
      <c r="L57">
        <v>0</v>
      </c>
      <c r="M57">
        <v>499</v>
      </c>
      <c r="N57">
        <v>5</v>
      </c>
      <c r="O57" s="3">
        <f t="shared" si="21"/>
        <v>34.591626630061768</v>
      </c>
      <c r="P57" s="3">
        <f t="shared" si="22"/>
        <v>0.34317089910775567</v>
      </c>
      <c r="Q57">
        <v>796</v>
      </c>
      <c r="R57">
        <v>5</v>
      </c>
      <c r="S57">
        <v>499</v>
      </c>
      <c r="T57" s="1">
        <f t="shared" si="23"/>
        <v>504</v>
      </c>
      <c r="U57" s="3">
        <f t="shared" si="24"/>
        <v>0.99206349206349209</v>
      </c>
      <c r="V57">
        <v>11</v>
      </c>
      <c r="W57" s="3">
        <f t="shared" si="25"/>
        <v>2.1825396825396823</v>
      </c>
      <c r="X57">
        <v>493</v>
      </c>
      <c r="Y57">
        <v>0</v>
      </c>
      <c r="Z57">
        <v>0</v>
      </c>
      <c r="AA57">
        <v>135</v>
      </c>
      <c r="AB57" s="3">
        <f t="shared" si="26"/>
        <v>26.785714285714285</v>
      </c>
      <c r="AC57">
        <v>13</v>
      </c>
      <c r="AD57" s="3">
        <f t="shared" si="27"/>
        <v>2.5793650793650795</v>
      </c>
      <c r="AE57">
        <v>38</v>
      </c>
      <c r="AF57" s="3">
        <f t="shared" si="28"/>
        <v>7.5396825396825395</v>
      </c>
      <c r="AG57">
        <v>31</v>
      </c>
      <c r="AH57" s="3">
        <f t="shared" si="29"/>
        <v>6.1507936507936511</v>
      </c>
      <c r="AI57">
        <v>138</v>
      </c>
      <c r="AJ57" s="3">
        <f t="shared" si="30"/>
        <v>27.38095238095238</v>
      </c>
      <c r="AK57">
        <v>51</v>
      </c>
      <c r="AL57" s="3">
        <f t="shared" si="31"/>
        <v>10.119047619047619</v>
      </c>
      <c r="AM57">
        <v>17</v>
      </c>
      <c r="AN57" s="3">
        <f t="shared" si="32"/>
        <v>3.373015873015873</v>
      </c>
      <c r="AO57">
        <v>11</v>
      </c>
      <c r="AP57" s="3">
        <f t="shared" si="33"/>
        <v>2.1825396825396823</v>
      </c>
      <c r="AQ57">
        <v>6</v>
      </c>
      <c r="AR57" s="3">
        <f t="shared" si="34"/>
        <v>1.1904761904761905</v>
      </c>
      <c r="AS57">
        <v>13</v>
      </c>
      <c r="AT57" s="3">
        <f t="shared" si="35"/>
        <v>2.5793650793650795</v>
      </c>
      <c r="AU57">
        <v>0</v>
      </c>
      <c r="AV57" s="3">
        <f t="shared" si="36"/>
        <v>0</v>
      </c>
      <c r="AW57">
        <v>5</v>
      </c>
      <c r="AX57" s="3">
        <f t="shared" si="37"/>
        <v>0.99206349206349209</v>
      </c>
      <c r="AY57">
        <v>7</v>
      </c>
      <c r="AZ57" s="3">
        <f t="shared" si="38"/>
        <v>1.3888888888888888</v>
      </c>
      <c r="BA57">
        <v>28</v>
      </c>
      <c r="BB57" s="3">
        <f t="shared" si="39"/>
        <v>5.5555555555555554</v>
      </c>
      <c r="BC57" t="s">
        <v>314</v>
      </c>
      <c r="BD57" s="72">
        <v>2017</v>
      </c>
      <c r="BE57" s="1"/>
      <c r="BF57"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-3.5034965034964785</v>
      </c>
      <c r="BG57" s="10">
        <f>2*(Дума_партии[[#This Row],[5. Всероссийская политическая партия "ЕДИНАЯ РОССИЯ"]]-(AB$203/100)*Дума_партии[[#This Row],[Число действительных избирательных бюллетеней]])</f>
        <v>-5.0099999999999909</v>
      </c>
      <c r="BH57" s="10">
        <f>(Дума_партии[[#This Row],[Вброс]]+Дума_партии[[#This Row],[Перекладывание]])/2</f>
        <v>-4.2567482517482347</v>
      </c>
    </row>
    <row r="58" spans="1:60" x14ac:dyDescent="0.4">
      <c r="A58" t="s">
        <v>49</v>
      </c>
      <c r="B58" t="s">
        <v>50</v>
      </c>
      <c r="C58" t="s">
        <v>51</v>
      </c>
      <c r="D58" t="s">
        <v>138</v>
      </c>
      <c r="E58" t="s">
        <v>186</v>
      </c>
      <c r="F58" s="8">
        <f t="shared" ca="1" si="20"/>
        <v>3930</v>
      </c>
      <c r="G58" t="s">
        <v>325</v>
      </c>
      <c r="H58" s="1" t="str">
        <f>LEFT(Дума_партии[[#This Row],[tik]],4)&amp;"."&amp;IF(ISNUMBER(VALUE(RIGHT(Дума_партии[[#This Row],[tik]]))),RIGHT(Дума_партии[[#This Row],[tik]]),"")</f>
        <v>Один.</v>
      </c>
      <c r="I58">
        <v>1498</v>
      </c>
      <c r="J58" s="8">
        <f>Дума_партии[[#This Row],[Число избирателей, внесенных в список избирателей на момент окончания голосования]]</f>
        <v>1498</v>
      </c>
      <c r="K58">
        <v>1300</v>
      </c>
      <c r="L58">
        <v>0</v>
      </c>
      <c r="M58">
        <v>537</v>
      </c>
      <c r="N58">
        <v>122</v>
      </c>
      <c r="O58" s="3">
        <f t="shared" si="21"/>
        <v>43.99198931909212</v>
      </c>
      <c r="P58" s="3">
        <f t="shared" si="22"/>
        <v>8.144192256341789</v>
      </c>
      <c r="Q58">
        <v>641</v>
      </c>
      <c r="R58">
        <v>122</v>
      </c>
      <c r="S58">
        <v>537</v>
      </c>
      <c r="T58" s="1">
        <f t="shared" si="23"/>
        <v>659</v>
      </c>
      <c r="U58" s="3">
        <f t="shared" si="24"/>
        <v>18.512898330804248</v>
      </c>
      <c r="V58">
        <v>18</v>
      </c>
      <c r="W58" s="3">
        <f t="shared" si="25"/>
        <v>2.7314112291350532</v>
      </c>
      <c r="X58">
        <v>641</v>
      </c>
      <c r="Y58">
        <v>0</v>
      </c>
      <c r="Z58">
        <v>0</v>
      </c>
      <c r="AA58">
        <v>137</v>
      </c>
      <c r="AB58" s="3">
        <f t="shared" si="26"/>
        <v>20.789074355083461</v>
      </c>
      <c r="AC58">
        <v>17</v>
      </c>
      <c r="AD58" s="3">
        <f t="shared" si="27"/>
        <v>2.5796661608497722</v>
      </c>
      <c r="AE58">
        <v>32</v>
      </c>
      <c r="AF58" s="3">
        <f t="shared" si="28"/>
        <v>4.8558421851289832</v>
      </c>
      <c r="AG58">
        <v>33</v>
      </c>
      <c r="AH58" s="3">
        <f t="shared" si="29"/>
        <v>5.0075872534142638</v>
      </c>
      <c r="AI58">
        <v>264</v>
      </c>
      <c r="AJ58" s="3">
        <f t="shared" si="30"/>
        <v>40.06069802731411</v>
      </c>
      <c r="AK58">
        <v>51</v>
      </c>
      <c r="AL58" s="3">
        <f t="shared" si="31"/>
        <v>7.7389984825493174</v>
      </c>
      <c r="AM58">
        <v>27</v>
      </c>
      <c r="AN58" s="3">
        <f t="shared" si="32"/>
        <v>4.0971168437025796</v>
      </c>
      <c r="AO58">
        <v>10</v>
      </c>
      <c r="AP58" s="3">
        <f t="shared" si="33"/>
        <v>1.5174506828528074</v>
      </c>
      <c r="AQ58">
        <v>14</v>
      </c>
      <c r="AR58" s="3">
        <f t="shared" si="34"/>
        <v>2.1244309559939301</v>
      </c>
      <c r="AS58">
        <v>10</v>
      </c>
      <c r="AT58" s="3">
        <f t="shared" si="35"/>
        <v>1.5174506828528074</v>
      </c>
      <c r="AU58">
        <v>1</v>
      </c>
      <c r="AV58" s="3">
        <f t="shared" si="36"/>
        <v>0.15174506828528073</v>
      </c>
      <c r="AW58">
        <v>11</v>
      </c>
      <c r="AX58" s="3">
        <f t="shared" si="37"/>
        <v>1.6691957511380879</v>
      </c>
      <c r="AY58">
        <v>10</v>
      </c>
      <c r="AZ58" s="3">
        <f t="shared" si="38"/>
        <v>1.5174506828528074</v>
      </c>
      <c r="BA58">
        <v>24</v>
      </c>
      <c r="BB58" s="3">
        <f t="shared" si="39"/>
        <v>3.6418816388467374</v>
      </c>
      <c r="BC58" t="s">
        <v>314</v>
      </c>
      <c r="BD58" s="72">
        <v>2017</v>
      </c>
      <c r="BE58" s="1">
        <v>1</v>
      </c>
      <c r="BF58"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113.72727272727275</v>
      </c>
      <c r="BG58" s="10">
        <f>2*(Дума_партии[[#This Row],[5. Всероссийская политическая партия "ЕДИНАЯ РОССИЯ"]]-(AB$203/100)*Дума_партии[[#This Row],[Число действительных избирательных бюллетеней]])</f>
        <v>162.63000000000005</v>
      </c>
      <c r="BH58" s="10">
        <f>(Дума_партии[[#This Row],[Вброс]]+Дума_партии[[#This Row],[Перекладывание]])/2</f>
        <v>138.1786363636364</v>
      </c>
    </row>
    <row r="59" spans="1:60" x14ac:dyDescent="0.4">
      <c r="A59" t="s">
        <v>49</v>
      </c>
      <c r="B59" t="s">
        <v>50</v>
      </c>
      <c r="C59" t="s">
        <v>51</v>
      </c>
      <c r="D59" t="s">
        <v>138</v>
      </c>
      <c r="E59" t="s">
        <v>187</v>
      </c>
      <c r="F59" s="8">
        <f t="shared" ca="1" si="20"/>
        <v>3931</v>
      </c>
      <c r="G59" t="s">
        <v>325</v>
      </c>
      <c r="H59" s="1" t="str">
        <f>LEFT(Дума_партии[[#This Row],[tik]],4)&amp;"."&amp;IF(ISNUMBER(VALUE(RIGHT(Дума_партии[[#This Row],[tik]]))),RIGHT(Дума_партии[[#This Row],[tik]]),"")</f>
        <v>Один.</v>
      </c>
      <c r="I59">
        <v>2664</v>
      </c>
      <c r="J59" s="8">
        <f>Дума_партии[[#This Row],[Число избирателей, внесенных в список избирателей на момент окончания голосования]]</f>
        <v>2664</v>
      </c>
      <c r="K59">
        <v>2000</v>
      </c>
      <c r="L59">
        <v>0</v>
      </c>
      <c r="M59">
        <v>913</v>
      </c>
      <c r="N59">
        <v>46</v>
      </c>
      <c r="O59" s="3">
        <f t="shared" si="21"/>
        <v>35.998498498498499</v>
      </c>
      <c r="P59" s="3">
        <f t="shared" si="22"/>
        <v>1.7267267267267268</v>
      </c>
      <c r="Q59">
        <v>1041</v>
      </c>
      <c r="R59">
        <v>46</v>
      </c>
      <c r="S59">
        <v>913</v>
      </c>
      <c r="T59" s="1">
        <f t="shared" si="23"/>
        <v>959</v>
      </c>
      <c r="U59" s="3">
        <f t="shared" si="24"/>
        <v>4.7966631908237751</v>
      </c>
      <c r="V59">
        <v>28</v>
      </c>
      <c r="W59" s="3">
        <f t="shared" si="25"/>
        <v>2.9197080291970803</v>
      </c>
      <c r="X59">
        <v>931</v>
      </c>
      <c r="Y59">
        <v>0</v>
      </c>
      <c r="Z59">
        <v>0</v>
      </c>
      <c r="AA59">
        <v>254</v>
      </c>
      <c r="AB59" s="3">
        <f t="shared" si="26"/>
        <v>26.485922836287799</v>
      </c>
      <c r="AC59">
        <v>18</v>
      </c>
      <c r="AD59" s="3">
        <f t="shared" si="27"/>
        <v>1.8769551616266944</v>
      </c>
      <c r="AE59">
        <v>70</v>
      </c>
      <c r="AF59" s="3">
        <f t="shared" si="28"/>
        <v>7.2992700729927007</v>
      </c>
      <c r="AG59">
        <v>80</v>
      </c>
      <c r="AH59" s="3">
        <f t="shared" si="29"/>
        <v>8.342022940563087</v>
      </c>
      <c r="AI59">
        <v>273</v>
      </c>
      <c r="AJ59" s="3">
        <f t="shared" si="30"/>
        <v>28.467153284671532</v>
      </c>
      <c r="AK59">
        <v>91</v>
      </c>
      <c r="AL59" s="3">
        <f t="shared" si="31"/>
        <v>9.4890510948905114</v>
      </c>
      <c r="AM59">
        <v>33</v>
      </c>
      <c r="AN59" s="3">
        <f t="shared" si="32"/>
        <v>3.441084462982273</v>
      </c>
      <c r="AO59">
        <v>12</v>
      </c>
      <c r="AP59" s="3">
        <f t="shared" si="33"/>
        <v>1.251303441084463</v>
      </c>
      <c r="AQ59">
        <v>20</v>
      </c>
      <c r="AR59" s="3">
        <f t="shared" si="34"/>
        <v>2.0855057351407718</v>
      </c>
      <c r="AS59">
        <v>20</v>
      </c>
      <c r="AT59" s="3">
        <f t="shared" si="35"/>
        <v>2.0855057351407718</v>
      </c>
      <c r="AU59">
        <v>3</v>
      </c>
      <c r="AV59" s="3">
        <f t="shared" si="36"/>
        <v>0.31282586027111575</v>
      </c>
      <c r="AW59">
        <v>22</v>
      </c>
      <c r="AX59" s="3">
        <f t="shared" si="37"/>
        <v>2.2940563086548487</v>
      </c>
      <c r="AY59">
        <v>9</v>
      </c>
      <c r="AZ59" s="3">
        <f t="shared" si="38"/>
        <v>0.9384775808133472</v>
      </c>
      <c r="BA59">
        <v>26</v>
      </c>
      <c r="BB59" s="3">
        <f t="shared" si="39"/>
        <v>2.7111574556830029</v>
      </c>
      <c r="BC59" t="s">
        <v>314</v>
      </c>
      <c r="BD59" s="72">
        <v>2017</v>
      </c>
      <c r="BE59" s="1"/>
      <c r="BF59"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10.720279720279734</v>
      </c>
      <c r="BG59" s="10">
        <f>2*(Дума_партии[[#This Row],[5. Всероссийская политическая партия "ЕДИНАЯ РОССИЯ"]]-(AB$203/100)*Дума_партии[[#This Row],[Число действительных избирательных бюллетеней]])</f>
        <v>15.330000000000041</v>
      </c>
      <c r="BH59" s="10">
        <f>(Дума_партии[[#This Row],[Вброс]]+Дума_партии[[#This Row],[Перекладывание]])/2</f>
        <v>13.025139860139888</v>
      </c>
    </row>
    <row r="60" spans="1:60" x14ac:dyDescent="0.4">
      <c r="A60" t="s">
        <v>49</v>
      </c>
      <c r="B60" t="s">
        <v>50</v>
      </c>
      <c r="C60" t="s">
        <v>51</v>
      </c>
      <c r="D60" t="s">
        <v>138</v>
      </c>
      <c r="E60" t="s">
        <v>188</v>
      </c>
      <c r="F60" s="8">
        <f t="shared" ca="1" si="20"/>
        <v>3932</v>
      </c>
      <c r="G60" t="s">
        <v>353</v>
      </c>
      <c r="H60" s="1" t="str">
        <f>LEFT(Дума_партии[[#This Row],[tik]],4)&amp;"."&amp;IF(ISNUMBER(VALUE(RIGHT(Дума_партии[[#This Row],[tik]]))),RIGHT(Дума_партии[[#This Row],[tik]]),"")</f>
        <v>Один.</v>
      </c>
      <c r="I60">
        <v>2795</v>
      </c>
      <c r="J60" s="8">
        <f>Дума_партии[[#This Row],[Число избирателей, внесенных в список избирателей на момент окончания голосования]]</f>
        <v>2795</v>
      </c>
      <c r="K60">
        <v>2500</v>
      </c>
      <c r="L60">
        <v>0</v>
      </c>
      <c r="M60">
        <v>695</v>
      </c>
      <c r="N60">
        <v>95</v>
      </c>
      <c r="O60" s="3">
        <f t="shared" si="21"/>
        <v>28.264758497316638</v>
      </c>
      <c r="P60" s="3">
        <f t="shared" si="22"/>
        <v>3.3989266547406083</v>
      </c>
      <c r="Q60">
        <v>1710</v>
      </c>
      <c r="R60">
        <v>95</v>
      </c>
      <c r="S60">
        <v>695</v>
      </c>
      <c r="T60" s="1">
        <f t="shared" si="23"/>
        <v>790</v>
      </c>
      <c r="U60" s="3">
        <f t="shared" si="24"/>
        <v>12.025316455696203</v>
      </c>
      <c r="V60">
        <v>11</v>
      </c>
      <c r="W60" s="3">
        <f t="shared" si="25"/>
        <v>1.3924050632911393</v>
      </c>
      <c r="X60">
        <v>779</v>
      </c>
      <c r="Y60">
        <v>0</v>
      </c>
      <c r="Z60">
        <v>0</v>
      </c>
      <c r="AA60">
        <v>173</v>
      </c>
      <c r="AB60" s="3">
        <f t="shared" si="26"/>
        <v>21.898734177215189</v>
      </c>
      <c r="AC60">
        <v>13</v>
      </c>
      <c r="AD60" s="3">
        <f t="shared" si="27"/>
        <v>1.6455696202531647</v>
      </c>
      <c r="AE60">
        <v>40</v>
      </c>
      <c r="AF60" s="3">
        <f t="shared" si="28"/>
        <v>5.0632911392405067</v>
      </c>
      <c r="AG60">
        <v>71</v>
      </c>
      <c r="AH60" s="3">
        <f t="shared" si="29"/>
        <v>8.9873417721518987</v>
      </c>
      <c r="AI60">
        <v>302</v>
      </c>
      <c r="AJ60" s="3">
        <f t="shared" si="30"/>
        <v>38.22784810126582</v>
      </c>
      <c r="AK60">
        <v>81</v>
      </c>
      <c r="AL60" s="3">
        <f t="shared" si="31"/>
        <v>10.253164556962025</v>
      </c>
      <c r="AM60">
        <v>38</v>
      </c>
      <c r="AN60" s="3">
        <f t="shared" si="32"/>
        <v>4.8101265822784809</v>
      </c>
      <c r="AO60">
        <v>7</v>
      </c>
      <c r="AP60" s="3">
        <f t="shared" si="33"/>
        <v>0.88607594936708856</v>
      </c>
      <c r="AQ60">
        <v>11</v>
      </c>
      <c r="AR60" s="3">
        <f t="shared" si="34"/>
        <v>1.3924050632911393</v>
      </c>
      <c r="AS60">
        <v>14</v>
      </c>
      <c r="AT60" s="3">
        <f t="shared" si="35"/>
        <v>1.7721518987341771</v>
      </c>
      <c r="AU60">
        <v>2</v>
      </c>
      <c r="AV60" s="3">
        <f t="shared" si="36"/>
        <v>0.25316455696202533</v>
      </c>
      <c r="AW60">
        <v>6</v>
      </c>
      <c r="AX60" s="3">
        <f t="shared" si="37"/>
        <v>0.759493670886076</v>
      </c>
      <c r="AY60">
        <v>7</v>
      </c>
      <c r="AZ60" s="3">
        <f t="shared" si="38"/>
        <v>0.88607594936708856</v>
      </c>
      <c r="BA60">
        <v>14</v>
      </c>
      <c r="BB60" s="3">
        <f t="shared" si="39"/>
        <v>1.7721518987341771</v>
      </c>
      <c r="BC60" t="s">
        <v>314</v>
      </c>
      <c r="BD60" s="72">
        <v>2017</v>
      </c>
      <c r="BE60" s="1"/>
      <c r="BF60"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111.86713286713291</v>
      </c>
      <c r="BG60" s="10">
        <f>2*(Дума_партии[[#This Row],[5. Всероссийская политическая партия "ЕДИНАЯ РОССИЯ"]]-(AB$203/100)*Дума_партии[[#This Row],[Число действительных избирательных бюллетеней]])</f>
        <v>159.97000000000003</v>
      </c>
      <c r="BH60" s="10">
        <f>(Дума_партии[[#This Row],[Вброс]]+Дума_партии[[#This Row],[Перекладывание]])/2</f>
        <v>135.91856643356647</v>
      </c>
    </row>
    <row r="61" spans="1:60" x14ac:dyDescent="0.4">
      <c r="A61" t="s">
        <v>49</v>
      </c>
      <c r="B61" t="s">
        <v>50</v>
      </c>
      <c r="C61" t="s">
        <v>51</v>
      </c>
      <c r="D61" t="s">
        <v>138</v>
      </c>
      <c r="E61" t="s">
        <v>189</v>
      </c>
      <c r="F61" s="8">
        <f t="shared" ca="1" si="20"/>
        <v>3933</v>
      </c>
      <c r="G61" t="s">
        <v>353</v>
      </c>
      <c r="H61" s="1" t="str">
        <f>LEFT(Дума_партии[[#This Row],[tik]],4)&amp;"."&amp;IF(ISNUMBER(VALUE(RIGHT(Дума_партии[[#This Row],[tik]]))),RIGHT(Дума_партии[[#This Row],[tik]]),"")</f>
        <v>Один.</v>
      </c>
      <c r="I61">
        <v>2603</v>
      </c>
      <c r="J61" s="8">
        <f>Дума_партии[[#This Row],[Число избирателей, внесенных в список избирателей на момент окончания голосования]]</f>
        <v>2603</v>
      </c>
      <c r="K61">
        <v>2000</v>
      </c>
      <c r="L61">
        <v>0</v>
      </c>
      <c r="M61">
        <v>890</v>
      </c>
      <c r="N61">
        <v>188</v>
      </c>
      <c r="O61" s="3">
        <f t="shared" si="21"/>
        <v>41.413753361505954</v>
      </c>
      <c r="P61" s="3">
        <f t="shared" si="22"/>
        <v>7.2224356511717254</v>
      </c>
      <c r="Q61">
        <v>922</v>
      </c>
      <c r="R61">
        <v>188</v>
      </c>
      <c r="S61">
        <v>890</v>
      </c>
      <c r="T61" s="1">
        <f t="shared" si="23"/>
        <v>1078</v>
      </c>
      <c r="U61" s="3">
        <f t="shared" si="24"/>
        <v>17.439703153988869</v>
      </c>
      <c r="V61">
        <v>56</v>
      </c>
      <c r="W61" s="3">
        <f t="shared" si="25"/>
        <v>5.1948051948051948</v>
      </c>
      <c r="X61">
        <v>1022</v>
      </c>
      <c r="Y61">
        <v>0</v>
      </c>
      <c r="Z61">
        <v>0</v>
      </c>
      <c r="AA61">
        <v>253</v>
      </c>
      <c r="AB61" s="3">
        <f t="shared" si="26"/>
        <v>23.469387755102041</v>
      </c>
      <c r="AC61">
        <v>11</v>
      </c>
      <c r="AD61" s="3">
        <f t="shared" si="27"/>
        <v>1.0204081632653061</v>
      </c>
      <c r="AE61">
        <v>85</v>
      </c>
      <c r="AF61" s="3">
        <f t="shared" si="28"/>
        <v>7.8849721706864564</v>
      </c>
      <c r="AG61">
        <v>82</v>
      </c>
      <c r="AH61" s="3">
        <f t="shared" si="29"/>
        <v>7.6066790352504636</v>
      </c>
      <c r="AI61">
        <v>346</v>
      </c>
      <c r="AJ61" s="3">
        <f t="shared" si="30"/>
        <v>32.096474953617808</v>
      </c>
      <c r="AK61">
        <v>108</v>
      </c>
      <c r="AL61" s="3">
        <f t="shared" si="31"/>
        <v>10.018552875695732</v>
      </c>
      <c r="AM61">
        <v>18</v>
      </c>
      <c r="AN61" s="3">
        <f t="shared" si="32"/>
        <v>1.6697588126159555</v>
      </c>
      <c r="AO61">
        <v>10</v>
      </c>
      <c r="AP61" s="3">
        <f t="shared" si="33"/>
        <v>0.92764378478664189</v>
      </c>
      <c r="AQ61">
        <v>13</v>
      </c>
      <c r="AR61" s="3">
        <f t="shared" si="34"/>
        <v>1.2059369202226344</v>
      </c>
      <c r="AS61">
        <v>31</v>
      </c>
      <c r="AT61" s="3">
        <f t="shared" si="35"/>
        <v>2.8756957328385901</v>
      </c>
      <c r="AU61">
        <v>2</v>
      </c>
      <c r="AV61" s="3">
        <f t="shared" si="36"/>
        <v>0.18552875695732837</v>
      </c>
      <c r="AW61">
        <v>10</v>
      </c>
      <c r="AX61" s="3">
        <f t="shared" si="37"/>
        <v>0.92764378478664189</v>
      </c>
      <c r="AY61">
        <v>11</v>
      </c>
      <c r="AZ61" s="3">
        <f t="shared" si="38"/>
        <v>1.0204081632653061</v>
      </c>
      <c r="BA61">
        <v>42</v>
      </c>
      <c r="BB61" s="3">
        <f t="shared" si="39"/>
        <v>3.8961038961038961</v>
      </c>
      <c r="BC61" t="s">
        <v>314</v>
      </c>
      <c r="BD61" s="72">
        <v>2017</v>
      </c>
      <c r="BE61" s="1"/>
      <c r="BF61"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76.545454545454561</v>
      </c>
      <c r="BG61" s="10">
        <f>2*(Дума_партии[[#This Row],[5. Всероссийская политическая партия "ЕДИНАЯ РОССИЯ"]]-(AB$203/100)*Дума_партии[[#This Row],[Число действительных избирательных бюллетеней]])</f>
        <v>109.46000000000004</v>
      </c>
      <c r="BH61" s="10">
        <f>(Дума_партии[[#This Row],[Вброс]]+Дума_партии[[#This Row],[Перекладывание]])/2</f>
        <v>93.002727272727299</v>
      </c>
    </row>
    <row r="62" spans="1:60" x14ac:dyDescent="0.4">
      <c r="A62" t="s">
        <v>49</v>
      </c>
      <c r="B62" t="s">
        <v>50</v>
      </c>
      <c r="C62" t="s">
        <v>51</v>
      </c>
      <c r="D62" t="s">
        <v>138</v>
      </c>
      <c r="E62" t="s">
        <v>190</v>
      </c>
      <c r="F62" s="8">
        <f t="shared" ca="1" si="20"/>
        <v>3936</v>
      </c>
      <c r="G62" t="s">
        <v>353</v>
      </c>
      <c r="H62" s="1" t="str">
        <f>LEFT(Дума_партии[[#This Row],[tik]],4)&amp;"."&amp;IF(ISNUMBER(VALUE(RIGHT(Дума_партии[[#This Row],[tik]]))),RIGHT(Дума_партии[[#This Row],[tik]]),"")</f>
        <v>Один.</v>
      </c>
      <c r="I62">
        <v>1651</v>
      </c>
      <c r="J62" s="8">
        <f>Дума_партии[[#This Row],[Число избирателей, внесенных в список избирателей на момент окончания голосования]]</f>
        <v>1651</v>
      </c>
      <c r="K62">
        <v>1500</v>
      </c>
      <c r="L62">
        <v>0</v>
      </c>
      <c r="M62">
        <v>626</v>
      </c>
      <c r="N62">
        <v>6</v>
      </c>
      <c r="O62" s="3">
        <f t="shared" si="21"/>
        <v>38.279830405814657</v>
      </c>
      <c r="P62" s="3">
        <f t="shared" si="22"/>
        <v>0.36341611144760749</v>
      </c>
      <c r="Q62">
        <v>868</v>
      </c>
      <c r="R62">
        <v>6</v>
      </c>
      <c r="S62">
        <v>626</v>
      </c>
      <c r="T62" s="1">
        <f t="shared" si="23"/>
        <v>632</v>
      </c>
      <c r="U62" s="3">
        <f t="shared" si="24"/>
        <v>0.94936708860759489</v>
      </c>
      <c r="V62">
        <v>14</v>
      </c>
      <c r="W62" s="3">
        <f t="shared" si="25"/>
        <v>2.2151898734177213</v>
      </c>
      <c r="X62">
        <v>618</v>
      </c>
      <c r="Y62">
        <v>0</v>
      </c>
      <c r="Z62">
        <v>0</v>
      </c>
      <c r="AA62">
        <v>150</v>
      </c>
      <c r="AB62" s="3">
        <f t="shared" si="26"/>
        <v>23.734177215189874</v>
      </c>
      <c r="AC62">
        <v>12</v>
      </c>
      <c r="AD62" s="3">
        <f t="shared" si="27"/>
        <v>1.8987341772151898</v>
      </c>
      <c r="AE62">
        <v>40</v>
      </c>
      <c r="AF62" s="3">
        <f t="shared" si="28"/>
        <v>6.3291139240506329</v>
      </c>
      <c r="AG62">
        <v>53</v>
      </c>
      <c r="AH62" s="3">
        <f t="shared" si="29"/>
        <v>8.386075949367088</v>
      </c>
      <c r="AI62">
        <v>235</v>
      </c>
      <c r="AJ62" s="3">
        <f t="shared" si="30"/>
        <v>37.183544303797468</v>
      </c>
      <c r="AK62">
        <v>56</v>
      </c>
      <c r="AL62" s="3">
        <f t="shared" si="31"/>
        <v>8.8607594936708853</v>
      </c>
      <c r="AM62">
        <v>20</v>
      </c>
      <c r="AN62" s="3">
        <f t="shared" si="32"/>
        <v>3.1645569620253164</v>
      </c>
      <c r="AO62">
        <v>3</v>
      </c>
      <c r="AP62" s="3">
        <f t="shared" si="33"/>
        <v>0.47468354430379744</v>
      </c>
      <c r="AQ62">
        <v>5</v>
      </c>
      <c r="AR62" s="3">
        <f t="shared" si="34"/>
        <v>0.79113924050632911</v>
      </c>
      <c r="AS62">
        <v>7</v>
      </c>
      <c r="AT62" s="3">
        <f t="shared" si="35"/>
        <v>1.1075949367088607</v>
      </c>
      <c r="AU62">
        <v>1</v>
      </c>
      <c r="AV62" s="3">
        <f t="shared" si="36"/>
        <v>0.15822784810126583</v>
      </c>
      <c r="AW62">
        <v>10</v>
      </c>
      <c r="AX62" s="3">
        <f t="shared" si="37"/>
        <v>1.5822784810126582</v>
      </c>
      <c r="AY62">
        <v>5</v>
      </c>
      <c r="AZ62" s="3">
        <f t="shared" si="38"/>
        <v>0.79113924050632911</v>
      </c>
      <c r="BA62">
        <v>21</v>
      </c>
      <c r="BB62" s="3">
        <f t="shared" si="39"/>
        <v>3.3227848101265822</v>
      </c>
      <c r="BC62" t="s">
        <v>314</v>
      </c>
      <c r="BD62" t="s">
        <v>455</v>
      </c>
      <c r="BE62" s="1"/>
      <c r="BF62"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82.335664335664347</v>
      </c>
      <c r="BG62" s="10">
        <f>2*(Дума_партии[[#This Row],[5. Всероссийская политическая партия "ЕДИНАЯ РОССИЯ"]]-(AB$203/100)*Дума_партии[[#This Row],[Число действительных избирательных бюллетеней]])</f>
        <v>117.74000000000001</v>
      </c>
      <c r="BH62" s="10">
        <f>(Дума_партии[[#This Row],[Вброс]]+Дума_партии[[#This Row],[Перекладывание]])/2</f>
        <v>100.03783216783218</v>
      </c>
    </row>
    <row r="63" spans="1:60" x14ac:dyDescent="0.4">
      <c r="A63" t="s">
        <v>49</v>
      </c>
      <c r="B63" t="s">
        <v>50</v>
      </c>
      <c r="C63" t="s">
        <v>51</v>
      </c>
      <c r="D63" t="s">
        <v>138</v>
      </c>
      <c r="E63" t="s">
        <v>191</v>
      </c>
      <c r="F63" s="8">
        <f t="shared" ca="1" si="20"/>
        <v>3938</v>
      </c>
      <c r="G63" t="s">
        <v>353</v>
      </c>
      <c r="H63" s="1" t="str">
        <f>LEFT(Дума_партии[[#This Row],[tik]],4)&amp;"."&amp;IF(ISNUMBER(VALUE(RIGHT(Дума_партии[[#This Row],[tik]]))),RIGHT(Дума_партии[[#This Row],[tik]]),"")</f>
        <v>Один.</v>
      </c>
      <c r="I63">
        <v>1897</v>
      </c>
      <c r="J63" s="8">
        <f>Дума_партии[[#This Row],[Число избирателей, внесенных в список избирателей на момент окончания голосования]]</f>
        <v>1897</v>
      </c>
      <c r="K63">
        <v>1500</v>
      </c>
      <c r="L63">
        <v>0</v>
      </c>
      <c r="M63">
        <v>785</v>
      </c>
      <c r="N63">
        <v>52</v>
      </c>
      <c r="O63" s="3">
        <f t="shared" si="21"/>
        <v>44.122298365840798</v>
      </c>
      <c r="P63" s="3">
        <f t="shared" si="22"/>
        <v>2.7411702688455457</v>
      </c>
      <c r="Q63">
        <v>663</v>
      </c>
      <c r="R63">
        <v>52</v>
      </c>
      <c r="S63">
        <v>785</v>
      </c>
      <c r="T63" s="1">
        <f t="shared" si="23"/>
        <v>837</v>
      </c>
      <c r="U63" s="3">
        <f t="shared" si="24"/>
        <v>6.2126642771804059</v>
      </c>
      <c r="V63">
        <v>17</v>
      </c>
      <c r="W63" s="3">
        <f t="shared" si="25"/>
        <v>2.031063321385902</v>
      </c>
      <c r="X63">
        <v>820</v>
      </c>
      <c r="Y63">
        <v>0</v>
      </c>
      <c r="Z63">
        <v>0</v>
      </c>
      <c r="AA63">
        <v>131</v>
      </c>
      <c r="AB63" s="3">
        <f t="shared" si="26"/>
        <v>15.651135005973716</v>
      </c>
      <c r="AC63">
        <v>10</v>
      </c>
      <c r="AD63" s="3">
        <f t="shared" si="27"/>
        <v>1.1947431302270013</v>
      </c>
      <c r="AE63">
        <v>47</v>
      </c>
      <c r="AF63" s="3">
        <f t="shared" si="28"/>
        <v>5.6152927120669061</v>
      </c>
      <c r="AG63">
        <v>40</v>
      </c>
      <c r="AH63" s="3">
        <f t="shared" si="29"/>
        <v>4.7789725209080052</v>
      </c>
      <c r="AI63">
        <v>475</v>
      </c>
      <c r="AJ63" s="3">
        <f t="shared" si="30"/>
        <v>56.750298685782553</v>
      </c>
      <c r="AK63">
        <v>50</v>
      </c>
      <c r="AL63" s="3">
        <f t="shared" si="31"/>
        <v>5.9737156511350058</v>
      </c>
      <c r="AM63">
        <v>10</v>
      </c>
      <c r="AN63" s="3">
        <f t="shared" si="32"/>
        <v>1.1947431302270013</v>
      </c>
      <c r="AO63">
        <v>0</v>
      </c>
      <c r="AP63" s="3">
        <f t="shared" si="33"/>
        <v>0</v>
      </c>
      <c r="AQ63">
        <v>8</v>
      </c>
      <c r="AR63" s="3">
        <f t="shared" si="34"/>
        <v>0.95579450418160095</v>
      </c>
      <c r="AS63">
        <v>10</v>
      </c>
      <c r="AT63" s="3">
        <f t="shared" si="35"/>
        <v>1.1947431302270013</v>
      </c>
      <c r="AU63">
        <v>0</v>
      </c>
      <c r="AV63" s="3">
        <f t="shared" si="36"/>
        <v>0</v>
      </c>
      <c r="AW63">
        <v>8</v>
      </c>
      <c r="AX63" s="3">
        <f t="shared" si="37"/>
        <v>0.95579450418160095</v>
      </c>
      <c r="AY63">
        <v>10</v>
      </c>
      <c r="AZ63" s="3">
        <f t="shared" si="38"/>
        <v>1.1947431302270013</v>
      </c>
      <c r="BA63">
        <v>21</v>
      </c>
      <c r="BB63" s="3">
        <f t="shared" si="39"/>
        <v>2.5089605734767026</v>
      </c>
      <c r="BC63" t="s">
        <v>314</v>
      </c>
      <c r="BD63" t="s">
        <v>455</v>
      </c>
      <c r="BE63" s="1"/>
      <c r="BF63"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337.48251748251749</v>
      </c>
      <c r="BG63" s="10">
        <f>2*(Дума_партии[[#This Row],[5. Всероссийская политическая партия "ЕДИНАЯ РОССИЯ"]]-(AB$203/100)*Дума_партии[[#This Row],[Число действительных избирательных бюллетеней]])</f>
        <v>482.6</v>
      </c>
      <c r="BH63" s="10">
        <f>(Дума_партии[[#This Row],[Вброс]]+Дума_партии[[#This Row],[Перекладывание]])/2</f>
        <v>410.04125874125873</v>
      </c>
    </row>
    <row r="64" spans="1:60" x14ac:dyDescent="0.4">
      <c r="A64" t="s">
        <v>49</v>
      </c>
      <c r="B64" t="s">
        <v>50</v>
      </c>
      <c r="C64" t="s">
        <v>51</v>
      </c>
      <c r="D64" t="s">
        <v>138</v>
      </c>
      <c r="E64" t="s">
        <v>192</v>
      </c>
      <c r="F64" s="8">
        <f t="shared" ca="1" si="20"/>
        <v>3939</v>
      </c>
      <c r="G64" t="s">
        <v>353</v>
      </c>
      <c r="H64" s="1" t="str">
        <f>LEFT(Дума_партии[[#This Row],[tik]],4)&amp;"."&amp;IF(ISNUMBER(VALUE(RIGHT(Дума_партии[[#This Row],[tik]]))),RIGHT(Дума_партии[[#This Row],[tik]]),"")</f>
        <v>Один.</v>
      </c>
      <c r="I64">
        <v>2020</v>
      </c>
      <c r="J64" s="8">
        <f>Дума_партии[[#This Row],[Число избирателей, внесенных в список избирателей на момент окончания голосования]]</f>
        <v>2020</v>
      </c>
      <c r="K64">
        <v>1500</v>
      </c>
      <c r="L64">
        <v>0</v>
      </c>
      <c r="M64">
        <v>567</v>
      </c>
      <c r="N64">
        <v>7</v>
      </c>
      <c r="O64" s="3">
        <f t="shared" si="21"/>
        <v>28.415841584158414</v>
      </c>
      <c r="P64" s="3">
        <f t="shared" si="22"/>
        <v>0.34653465346534651</v>
      </c>
      <c r="Q64">
        <v>926</v>
      </c>
      <c r="R64">
        <v>7</v>
      </c>
      <c r="S64">
        <v>567</v>
      </c>
      <c r="T64" s="1">
        <f t="shared" si="23"/>
        <v>574</v>
      </c>
      <c r="U64" s="3">
        <f t="shared" si="24"/>
        <v>1.2195121951219512</v>
      </c>
      <c r="V64">
        <v>10</v>
      </c>
      <c r="W64" s="3">
        <f t="shared" si="25"/>
        <v>1.7421602787456445</v>
      </c>
      <c r="X64">
        <v>564</v>
      </c>
      <c r="Y64">
        <v>0</v>
      </c>
      <c r="Z64">
        <v>0</v>
      </c>
      <c r="AA64">
        <v>178</v>
      </c>
      <c r="AB64" s="3">
        <f t="shared" si="26"/>
        <v>31.010452961672474</v>
      </c>
      <c r="AC64">
        <v>18</v>
      </c>
      <c r="AD64" s="3">
        <f t="shared" si="27"/>
        <v>3.1358885017421603</v>
      </c>
      <c r="AE64">
        <v>46</v>
      </c>
      <c r="AF64" s="3">
        <f t="shared" si="28"/>
        <v>8.0139372822299659</v>
      </c>
      <c r="AG64">
        <v>58</v>
      </c>
      <c r="AH64" s="3">
        <f t="shared" si="29"/>
        <v>10.104529616724738</v>
      </c>
      <c r="AI64">
        <v>144</v>
      </c>
      <c r="AJ64" s="3">
        <f t="shared" si="30"/>
        <v>25.087108013937282</v>
      </c>
      <c r="AK64">
        <v>51</v>
      </c>
      <c r="AL64" s="3">
        <f t="shared" si="31"/>
        <v>8.8850174216027877</v>
      </c>
      <c r="AM64">
        <v>11</v>
      </c>
      <c r="AN64" s="3">
        <f t="shared" si="32"/>
        <v>1.9163763066202091</v>
      </c>
      <c r="AO64">
        <v>8</v>
      </c>
      <c r="AP64" s="3">
        <f t="shared" si="33"/>
        <v>1.3937282229965158</v>
      </c>
      <c r="AQ64">
        <v>10</v>
      </c>
      <c r="AR64" s="3">
        <f t="shared" si="34"/>
        <v>1.7421602787456445</v>
      </c>
      <c r="AS64">
        <v>7</v>
      </c>
      <c r="AT64" s="3">
        <f t="shared" si="35"/>
        <v>1.2195121951219512</v>
      </c>
      <c r="AU64">
        <v>0</v>
      </c>
      <c r="AV64" s="3">
        <f t="shared" si="36"/>
        <v>0</v>
      </c>
      <c r="AW64">
        <v>8</v>
      </c>
      <c r="AX64" s="3">
        <f t="shared" si="37"/>
        <v>1.3937282229965158</v>
      </c>
      <c r="AY64">
        <v>13</v>
      </c>
      <c r="AZ64" s="3">
        <f t="shared" si="38"/>
        <v>2.264808362369338</v>
      </c>
      <c r="BA64">
        <v>12</v>
      </c>
      <c r="BB64" s="3">
        <f t="shared" si="39"/>
        <v>2.0905923344947737</v>
      </c>
      <c r="BC64" t="s">
        <v>314</v>
      </c>
      <c r="BD64" s="72">
        <v>2017</v>
      </c>
      <c r="BE64" s="1"/>
      <c r="BF64"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-23.412587412587385</v>
      </c>
      <c r="BG64" s="10">
        <f>2*(Дума_партии[[#This Row],[5. Всероссийская политическая партия "ЕДИНАЯ РОССИЯ"]]-(AB$203/100)*Дума_партии[[#This Row],[Число действительных избирательных бюллетеней]])</f>
        <v>-33.479999999999961</v>
      </c>
      <c r="BH64" s="10">
        <f>(Дума_партии[[#This Row],[Вброс]]+Дума_партии[[#This Row],[Перекладывание]])/2</f>
        <v>-28.446293706293673</v>
      </c>
    </row>
    <row r="65" spans="1:60" x14ac:dyDescent="0.4">
      <c r="A65" t="s">
        <v>49</v>
      </c>
      <c r="B65" t="s">
        <v>50</v>
      </c>
      <c r="C65" t="s">
        <v>51</v>
      </c>
      <c r="D65" t="s">
        <v>138</v>
      </c>
      <c r="E65" t="s">
        <v>193</v>
      </c>
      <c r="F65" s="8">
        <f t="shared" ca="1" si="20"/>
        <v>3945</v>
      </c>
      <c r="G65" t="s">
        <v>326</v>
      </c>
      <c r="H65" s="1" t="str">
        <f>LEFT(Дума_партии[[#This Row],[tik]],4)&amp;"."&amp;IF(ISNUMBER(VALUE(RIGHT(Дума_партии[[#This Row],[tik]]))),RIGHT(Дума_партии[[#This Row],[tik]]),"")</f>
        <v>Один.</v>
      </c>
      <c r="I65">
        <v>638</v>
      </c>
      <c r="J65" s="8">
        <f>Дума_партии[[#This Row],[Число избирателей, внесенных в список избирателей на момент окончания голосования]]</f>
        <v>638</v>
      </c>
      <c r="K65">
        <v>500</v>
      </c>
      <c r="L65">
        <v>0</v>
      </c>
      <c r="M65">
        <v>147</v>
      </c>
      <c r="N65">
        <v>33</v>
      </c>
      <c r="O65" s="3">
        <f t="shared" si="21"/>
        <v>28.213166144200628</v>
      </c>
      <c r="P65" s="3">
        <f t="shared" si="22"/>
        <v>5.1724137931034484</v>
      </c>
      <c r="Q65">
        <v>320</v>
      </c>
      <c r="R65">
        <v>33</v>
      </c>
      <c r="S65">
        <v>147</v>
      </c>
      <c r="T65" s="1">
        <f t="shared" si="23"/>
        <v>180</v>
      </c>
      <c r="U65" s="3">
        <f t="shared" si="24"/>
        <v>18.333333333333332</v>
      </c>
      <c r="V65">
        <v>1</v>
      </c>
      <c r="W65" s="3">
        <f t="shared" si="25"/>
        <v>0.55555555555555558</v>
      </c>
      <c r="X65">
        <v>179</v>
      </c>
      <c r="Y65">
        <v>0</v>
      </c>
      <c r="Z65">
        <v>0</v>
      </c>
      <c r="AA65">
        <v>52</v>
      </c>
      <c r="AB65" s="3">
        <f t="shared" si="26"/>
        <v>28.888888888888889</v>
      </c>
      <c r="AC65">
        <v>4</v>
      </c>
      <c r="AD65" s="3">
        <f t="shared" si="27"/>
        <v>2.2222222222222223</v>
      </c>
      <c r="AE65">
        <v>11</v>
      </c>
      <c r="AF65" s="3">
        <f t="shared" si="28"/>
        <v>6.1111111111111107</v>
      </c>
      <c r="AG65">
        <v>15</v>
      </c>
      <c r="AH65" s="3">
        <f t="shared" si="29"/>
        <v>8.3333333333333339</v>
      </c>
      <c r="AI65">
        <v>56</v>
      </c>
      <c r="AJ65" s="3">
        <f t="shared" si="30"/>
        <v>31.111111111111111</v>
      </c>
      <c r="AK65">
        <v>15</v>
      </c>
      <c r="AL65" s="3">
        <f t="shared" si="31"/>
        <v>8.3333333333333339</v>
      </c>
      <c r="AM65">
        <v>6</v>
      </c>
      <c r="AN65" s="3">
        <f t="shared" si="32"/>
        <v>3.3333333333333335</v>
      </c>
      <c r="AO65">
        <v>2</v>
      </c>
      <c r="AP65" s="3">
        <f t="shared" si="33"/>
        <v>1.1111111111111112</v>
      </c>
      <c r="AQ65">
        <v>1</v>
      </c>
      <c r="AR65" s="3">
        <f t="shared" si="34"/>
        <v>0.55555555555555558</v>
      </c>
      <c r="AS65">
        <v>4</v>
      </c>
      <c r="AT65" s="3">
        <f t="shared" si="35"/>
        <v>2.2222222222222223</v>
      </c>
      <c r="AU65">
        <v>0</v>
      </c>
      <c r="AV65" s="3">
        <f t="shared" si="36"/>
        <v>0</v>
      </c>
      <c r="AW65">
        <v>1</v>
      </c>
      <c r="AX65" s="3">
        <f t="shared" si="37"/>
        <v>0.55555555555555558</v>
      </c>
      <c r="AY65">
        <v>5</v>
      </c>
      <c r="AZ65" s="3">
        <f t="shared" si="38"/>
        <v>2.7777777777777777</v>
      </c>
      <c r="BA65">
        <v>7</v>
      </c>
      <c r="BB65" s="3">
        <f t="shared" si="39"/>
        <v>3.8888888888888888</v>
      </c>
      <c r="BC65" t="s">
        <v>314</v>
      </c>
      <c r="BD65" s="72">
        <v>2017</v>
      </c>
      <c r="BE65" s="1">
        <v>2</v>
      </c>
      <c r="BF65"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6.9720279720279805</v>
      </c>
      <c r="BG65" s="10">
        <f>2*(Дума_партии[[#This Row],[5. Всероссийская политическая партия "ЕДИНАЯ РОССИЯ"]]-(AB$203/100)*Дума_партии[[#This Row],[Число действительных избирательных бюллетеней]])</f>
        <v>9.9700000000000131</v>
      </c>
      <c r="BH65" s="10">
        <f>(Дума_партии[[#This Row],[Вброс]]+Дума_партии[[#This Row],[Перекладывание]])/2</f>
        <v>8.4710139860139968</v>
      </c>
    </row>
    <row r="66" spans="1:60" x14ac:dyDescent="0.4">
      <c r="A66" t="s">
        <v>49</v>
      </c>
      <c r="B66" t="s">
        <v>50</v>
      </c>
      <c r="C66" t="s">
        <v>51</v>
      </c>
      <c r="D66" t="s">
        <v>138</v>
      </c>
      <c r="E66" t="s">
        <v>194</v>
      </c>
      <c r="F66" s="8">
        <f t="shared" ref="F66:F97" ca="1" si="40">SUMPRODUCT(MID(0&amp;E66, LARGE(INDEX(ISNUMBER(--MID(E66, ROW(INDIRECT("1:"&amp;LEN(E66))), 1)) * ROW(INDIRECT("1:"&amp;LEN(E66))), 0), ROW(INDIRECT("1:"&amp;LEN(E66))))+1, 1) * 10^ROW(INDIRECT("1:"&amp;LEN(E66)))/10)</f>
        <v>3949</v>
      </c>
      <c r="G66" t="s">
        <v>452</v>
      </c>
      <c r="H66" s="1" t="str">
        <f>LEFT(Дума_партии[[#This Row],[tik]],4)&amp;"."&amp;IF(ISNUMBER(VALUE(RIGHT(Дума_партии[[#This Row],[tik]]))),RIGHT(Дума_партии[[#This Row],[tik]]),"")</f>
        <v>Один.</v>
      </c>
      <c r="I66">
        <v>1470</v>
      </c>
      <c r="J66" s="8">
        <f>Дума_партии[[#This Row],[Число избирателей, внесенных в список избирателей на момент окончания голосования]]</f>
        <v>1470</v>
      </c>
      <c r="K66">
        <v>1300</v>
      </c>
      <c r="L66">
        <v>0</v>
      </c>
      <c r="M66">
        <v>440</v>
      </c>
      <c r="N66">
        <v>25</v>
      </c>
      <c r="O66" s="3">
        <f t="shared" ref="O66:O97" si="41">100*(M66+N66)/I66</f>
        <v>31.632653061224488</v>
      </c>
      <c r="P66" s="3">
        <f t="shared" ref="P66:P97" si="42">100*N66/I66</f>
        <v>1.7006802721088434</v>
      </c>
      <c r="Q66">
        <v>835</v>
      </c>
      <c r="R66">
        <v>25</v>
      </c>
      <c r="S66">
        <v>440</v>
      </c>
      <c r="T66" s="1">
        <f t="shared" ref="T66:T97" si="43">R66+S66</f>
        <v>465</v>
      </c>
      <c r="U66" s="3">
        <f t="shared" ref="U66:U97" si="44">100*R66/T66</f>
        <v>5.376344086021505</v>
      </c>
      <c r="V66">
        <v>24</v>
      </c>
      <c r="W66" s="3">
        <f t="shared" ref="W66:W97" si="45">100*V66/T66</f>
        <v>5.161290322580645</v>
      </c>
      <c r="X66">
        <v>441</v>
      </c>
      <c r="Y66">
        <v>0</v>
      </c>
      <c r="Z66">
        <v>0</v>
      </c>
      <c r="AA66">
        <v>149</v>
      </c>
      <c r="AB66" s="3">
        <f t="shared" ref="AB66:AB97" si="46">100*AA66/$T66</f>
        <v>32.043010752688176</v>
      </c>
      <c r="AC66">
        <v>5</v>
      </c>
      <c r="AD66" s="3">
        <f t="shared" ref="AD66:AD97" si="47">100*AC66/$T66</f>
        <v>1.075268817204301</v>
      </c>
      <c r="AE66">
        <v>23</v>
      </c>
      <c r="AF66" s="3">
        <f t="shared" ref="AF66:AF97" si="48">100*AE66/$T66</f>
        <v>4.946236559139785</v>
      </c>
      <c r="AG66">
        <v>30</v>
      </c>
      <c r="AH66" s="3">
        <f t="shared" ref="AH66:AH97" si="49">100*AG66/$T66</f>
        <v>6.4516129032258061</v>
      </c>
      <c r="AI66">
        <v>125</v>
      </c>
      <c r="AJ66" s="3">
        <f t="shared" ref="AJ66:AJ97" si="50">100*AI66/$T66</f>
        <v>26.881720430107528</v>
      </c>
      <c r="AK66">
        <v>35</v>
      </c>
      <c r="AL66" s="3">
        <f t="shared" ref="AL66:AL97" si="51">100*AK66/$T66</f>
        <v>7.5268817204301079</v>
      </c>
      <c r="AM66">
        <v>13</v>
      </c>
      <c r="AN66" s="3">
        <f t="shared" ref="AN66:AN97" si="52">100*AM66/$T66</f>
        <v>2.795698924731183</v>
      </c>
      <c r="AO66">
        <v>4</v>
      </c>
      <c r="AP66" s="3">
        <f t="shared" ref="AP66:AP97" si="53">100*AO66/$T66</f>
        <v>0.86021505376344087</v>
      </c>
      <c r="AQ66">
        <v>7</v>
      </c>
      <c r="AR66" s="3">
        <f t="shared" ref="AR66:AR97" si="54">100*AQ66/$T66</f>
        <v>1.5053763440860215</v>
      </c>
      <c r="AS66">
        <v>12</v>
      </c>
      <c r="AT66" s="3">
        <f t="shared" ref="AT66:AT97" si="55">100*AS66/$T66</f>
        <v>2.5806451612903225</v>
      </c>
      <c r="AU66">
        <v>2</v>
      </c>
      <c r="AV66" s="3">
        <f t="shared" ref="AV66:AV97" si="56">100*AU66/$T66</f>
        <v>0.43010752688172044</v>
      </c>
      <c r="AW66">
        <v>5</v>
      </c>
      <c r="AX66" s="3">
        <f t="shared" ref="AX66:AX97" si="57">100*AW66/$T66</f>
        <v>1.075268817204301</v>
      </c>
      <c r="AY66">
        <v>7</v>
      </c>
      <c r="AZ66" s="3">
        <f t="shared" ref="AZ66:AZ97" si="58">100*AY66/$T66</f>
        <v>1.5053763440860215</v>
      </c>
      <c r="BA66">
        <v>24</v>
      </c>
      <c r="BB66" s="3">
        <f t="shared" ref="BB66:BB97" si="59">100*BA66/$T66</f>
        <v>5.161290322580645</v>
      </c>
      <c r="BC66" t="s">
        <v>314</v>
      </c>
      <c r="BD66" s="72">
        <v>2017</v>
      </c>
      <c r="BE66" s="1">
        <v>5</v>
      </c>
      <c r="BF66"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-0.95804195804193171</v>
      </c>
      <c r="BG66" s="10">
        <f>2*(Дума_партии[[#This Row],[5. Всероссийская политическая партия "ЕДИНАЯ РОССИЯ"]]-(AB$203/100)*Дума_партии[[#This Row],[Число действительных избирательных бюллетеней]])</f>
        <v>-1.3699999999999761</v>
      </c>
      <c r="BH66" s="10">
        <f>(Дума_партии[[#This Row],[Вброс]]+Дума_партии[[#This Row],[Перекладывание]])/2</f>
        <v>-1.1640209790209539</v>
      </c>
    </row>
    <row r="67" spans="1:60" x14ac:dyDescent="0.4">
      <c r="A67" t="s">
        <v>49</v>
      </c>
      <c r="B67" t="s">
        <v>50</v>
      </c>
      <c r="C67" t="s">
        <v>51</v>
      </c>
      <c r="D67" t="s">
        <v>138</v>
      </c>
      <c r="E67" t="s">
        <v>195</v>
      </c>
      <c r="F67" s="8">
        <f t="shared" ca="1" si="40"/>
        <v>3950</v>
      </c>
      <c r="G67" t="s">
        <v>327</v>
      </c>
      <c r="H67" s="1" t="str">
        <f>LEFT(Дума_партии[[#This Row],[tik]],4)&amp;"."&amp;IF(ISNUMBER(VALUE(RIGHT(Дума_партии[[#This Row],[tik]]))),RIGHT(Дума_партии[[#This Row],[tik]]),"")</f>
        <v>Один.</v>
      </c>
      <c r="I67">
        <v>2613</v>
      </c>
      <c r="J67" s="8">
        <f>Дума_партии[[#This Row],[Число избирателей, внесенных в список избирателей на момент окончания голосования]]</f>
        <v>2613</v>
      </c>
      <c r="K67">
        <v>2000</v>
      </c>
      <c r="L67">
        <v>0</v>
      </c>
      <c r="M67">
        <v>1313</v>
      </c>
      <c r="N67">
        <v>193</v>
      </c>
      <c r="O67" s="3">
        <f t="shared" si="41"/>
        <v>57.634902411021812</v>
      </c>
      <c r="P67" s="3">
        <f t="shared" si="42"/>
        <v>7.3861461921163416</v>
      </c>
      <c r="Q67">
        <v>494</v>
      </c>
      <c r="R67">
        <v>193</v>
      </c>
      <c r="S67">
        <v>1313</v>
      </c>
      <c r="T67" s="1">
        <f t="shared" si="43"/>
        <v>1506</v>
      </c>
      <c r="U67" s="3">
        <f t="shared" si="44"/>
        <v>12.815405046480743</v>
      </c>
      <c r="V67">
        <v>42</v>
      </c>
      <c r="W67" s="3">
        <f t="shared" si="45"/>
        <v>2.7888446215139444</v>
      </c>
      <c r="X67">
        <v>1464</v>
      </c>
      <c r="Y67">
        <v>0</v>
      </c>
      <c r="Z67">
        <v>0</v>
      </c>
      <c r="AA67">
        <v>340</v>
      </c>
      <c r="AB67" s="3">
        <f t="shared" si="46"/>
        <v>22.57636122177955</v>
      </c>
      <c r="AC67">
        <v>15</v>
      </c>
      <c r="AD67" s="3">
        <f t="shared" si="47"/>
        <v>0.99601593625498008</v>
      </c>
      <c r="AE67">
        <v>132</v>
      </c>
      <c r="AF67" s="3">
        <f t="shared" si="48"/>
        <v>8.764940239043824</v>
      </c>
      <c r="AG67">
        <v>64</v>
      </c>
      <c r="AH67" s="3">
        <f t="shared" si="49"/>
        <v>4.2496679946879148</v>
      </c>
      <c r="AI67">
        <v>680</v>
      </c>
      <c r="AJ67" s="3">
        <f t="shared" si="50"/>
        <v>45.152722443559099</v>
      </c>
      <c r="AK67">
        <v>83</v>
      </c>
      <c r="AL67" s="3">
        <f t="shared" si="51"/>
        <v>5.5112881806108902</v>
      </c>
      <c r="AM67">
        <v>25</v>
      </c>
      <c r="AN67" s="3">
        <f t="shared" si="52"/>
        <v>1.6600265604249669</v>
      </c>
      <c r="AO67">
        <v>4</v>
      </c>
      <c r="AP67" s="3">
        <f t="shared" si="53"/>
        <v>0.26560424966799467</v>
      </c>
      <c r="AQ67">
        <v>13</v>
      </c>
      <c r="AR67" s="3">
        <f t="shared" si="54"/>
        <v>0.86321381142098275</v>
      </c>
      <c r="AS67">
        <v>31</v>
      </c>
      <c r="AT67" s="3">
        <f t="shared" si="55"/>
        <v>2.0584329349269588</v>
      </c>
      <c r="AU67">
        <v>3</v>
      </c>
      <c r="AV67" s="3">
        <f t="shared" si="56"/>
        <v>0.19920318725099601</v>
      </c>
      <c r="AW67">
        <v>11</v>
      </c>
      <c r="AX67" s="3">
        <f t="shared" si="57"/>
        <v>0.73041168658698541</v>
      </c>
      <c r="AY67">
        <v>16</v>
      </c>
      <c r="AZ67" s="3">
        <f t="shared" si="58"/>
        <v>1.0624169986719787</v>
      </c>
      <c r="BA67">
        <v>47</v>
      </c>
      <c r="BB67" s="3">
        <f t="shared" si="59"/>
        <v>3.1208499335989375</v>
      </c>
      <c r="BC67" t="s">
        <v>314</v>
      </c>
      <c r="BD67" t="s">
        <v>455</v>
      </c>
      <c r="BE67" s="1"/>
      <c r="BF67"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367.49650349650352</v>
      </c>
      <c r="BG67" s="10">
        <f>2*(Дума_партии[[#This Row],[5. Всероссийская политическая партия "ЕДИНАЯ РОССИЯ"]]-(AB$203/100)*Дума_партии[[#This Row],[Число действительных избирательных бюллетеней]])</f>
        <v>525.5200000000001</v>
      </c>
      <c r="BH67" s="10">
        <f>(Дума_партии[[#This Row],[Вброс]]+Дума_партии[[#This Row],[Перекладывание]])/2</f>
        <v>446.50825174825184</v>
      </c>
    </row>
    <row r="68" spans="1:60" x14ac:dyDescent="0.4">
      <c r="A68" t="s">
        <v>49</v>
      </c>
      <c r="B68" t="s">
        <v>50</v>
      </c>
      <c r="C68" t="s">
        <v>51</v>
      </c>
      <c r="D68" t="s">
        <v>138</v>
      </c>
      <c r="E68" t="s">
        <v>196</v>
      </c>
      <c r="F68" s="8">
        <f t="shared" ca="1" si="40"/>
        <v>3952</v>
      </c>
      <c r="G68" t="s">
        <v>328</v>
      </c>
      <c r="H68" s="1" t="str">
        <f>LEFT(Дума_партии[[#This Row],[tik]],4)&amp;"."&amp;IF(ISNUMBER(VALUE(RIGHT(Дума_партии[[#This Row],[tik]]))),RIGHT(Дума_партии[[#This Row],[tik]]),"")</f>
        <v>Один.</v>
      </c>
      <c r="I68">
        <v>711</v>
      </c>
      <c r="J68" s="8">
        <f>Дума_партии[[#This Row],[Число избирателей, внесенных в список избирателей на момент окончания голосования]]</f>
        <v>711</v>
      </c>
      <c r="K68">
        <v>700</v>
      </c>
      <c r="L68">
        <v>0</v>
      </c>
      <c r="M68">
        <v>400</v>
      </c>
      <c r="N68">
        <v>69</v>
      </c>
      <c r="O68" s="3">
        <f t="shared" si="41"/>
        <v>65.963431786216603</v>
      </c>
      <c r="P68" s="3">
        <f t="shared" si="42"/>
        <v>9.7046413502109701</v>
      </c>
      <c r="Q68">
        <v>231</v>
      </c>
      <c r="R68">
        <v>69</v>
      </c>
      <c r="S68">
        <v>400</v>
      </c>
      <c r="T68" s="1">
        <f t="shared" si="43"/>
        <v>469</v>
      </c>
      <c r="U68" s="3">
        <f t="shared" si="44"/>
        <v>14.712153518123667</v>
      </c>
      <c r="V68">
        <v>17</v>
      </c>
      <c r="W68" s="3">
        <f t="shared" si="45"/>
        <v>3.624733475479744</v>
      </c>
      <c r="X68">
        <v>452</v>
      </c>
      <c r="Y68">
        <v>0</v>
      </c>
      <c r="Z68">
        <v>0</v>
      </c>
      <c r="AA68">
        <v>101</v>
      </c>
      <c r="AB68" s="3">
        <f t="shared" si="46"/>
        <v>21.535181236673775</v>
      </c>
      <c r="AC68">
        <v>10</v>
      </c>
      <c r="AD68" s="3">
        <f t="shared" si="47"/>
        <v>2.1321961620469083</v>
      </c>
      <c r="AE68">
        <v>44</v>
      </c>
      <c r="AF68" s="3">
        <f t="shared" si="48"/>
        <v>9.3816631130063968</v>
      </c>
      <c r="AG68">
        <v>29</v>
      </c>
      <c r="AH68" s="3">
        <f t="shared" si="49"/>
        <v>6.1833688699360341</v>
      </c>
      <c r="AI68">
        <v>187</v>
      </c>
      <c r="AJ68" s="3">
        <f t="shared" si="50"/>
        <v>39.872068230277186</v>
      </c>
      <c r="AK68">
        <v>28</v>
      </c>
      <c r="AL68" s="3">
        <f t="shared" si="51"/>
        <v>5.9701492537313436</v>
      </c>
      <c r="AM68">
        <v>6</v>
      </c>
      <c r="AN68" s="3">
        <f t="shared" si="52"/>
        <v>1.279317697228145</v>
      </c>
      <c r="AO68">
        <v>4</v>
      </c>
      <c r="AP68" s="3">
        <f t="shared" si="53"/>
        <v>0.85287846481876328</v>
      </c>
      <c r="AQ68">
        <v>7</v>
      </c>
      <c r="AR68" s="3">
        <f t="shared" si="54"/>
        <v>1.4925373134328359</v>
      </c>
      <c r="AS68">
        <v>10</v>
      </c>
      <c r="AT68" s="3">
        <f t="shared" si="55"/>
        <v>2.1321961620469083</v>
      </c>
      <c r="AU68">
        <v>0</v>
      </c>
      <c r="AV68" s="3">
        <f t="shared" si="56"/>
        <v>0</v>
      </c>
      <c r="AW68">
        <v>6</v>
      </c>
      <c r="AX68" s="3">
        <f t="shared" si="57"/>
        <v>1.279317697228145</v>
      </c>
      <c r="AY68">
        <v>2</v>
      </c>
      <c r="AZ68" s="3">
        <f t="shared" si="58"/>
        <v>0.42643923240938164</v>
      </c>
      <c r="BA68">
        <v>18</v>
      </c>
      <c r="BB68" s="3">
        <f t="shared" si="59"/>
        <v>3.8379530916844349</v>
      </c>
      <c r="BC68" t="s">
        <v>314</v>
      </c>
      <c r="BD68" s="72">
        <v>2017</v>
      </c>
      <c r="BE68" s="1"/>
      <c r="BF68"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81.370629370629388</v>
      </c>
      <c r="BG68" s="10">
        <f>2*(Дума_партии[[#This Row],[5. Всероссийская политическая партия "ЕДИНАЯ РОССИЯ"]]-(AB$203/100)*Дума_партии[[#This Row],[Число действительных избирательных бюллетеней]])</f>
        <v>116.36000000000001</v>
      </c>
      <c r="BH68" s="10">
        <f>(Дума_партии[[#This Row],[Вброс]]+Дума_партии[[#This Row],[Перекладывание]])/2</f>
        <v>98.865314685314701</v>
      </c>
    </row>
    <row r="69" spans="1:60" x14ac:dyDescent="0.4">
      <c r="A69" t="s">
        <v>49</v>
      </c>
      <c r="B69" t="s">
        <v>50</v>
      </c>
      <c r="C69" t="s">
        <v>51</v>
      </c>
      <c r="D69" t="s">
        <v>138</v>
      </c>
      <c r="E69" t="s">
        <v>197</v>
      </c>
      <c r="F69" s="8">
        <f t="shared" ca="1" si="40"/>
        <v>3953</v>
      </c>
      <c r="G69" t="s">
        <v>118</v>
      </c>
      <c r="H69" s="1" t="str">
        <f>LEFT(Дума_партии[[#This Row],[tik]],4)&amp;"."&amp;IF(ISNUMBER(VALUE(RIGHT(Дума_партии[[#This Row],[tik]]))),RIGHT(Дума_партии[[#This Row],[tik]]),"")</f>
        <v>Один.</v>
      </c>
      <c r="I69">
        <v>676</v>
      </c>
      <c r="J69" s="8">
        <f>Дума_партии[[#This Row],[Число избирателей, внесенных в список избирателей на момент окончания голосования]]</f>
        <v>676</v>
      </c>
      <c r="K69">
        <v>600</v>
      </c>
      <c r="L69">
        <v>0</v>
      </c>
      <c r="M69">
        <v>249</v>
      </c>
      <c r="N69">
        <v>151</v>
      </c>
      <c r="O69" s="3">
        <f t="shared" si="41"/>
        <v>59.171597633136095</v>
      </c>
      <c r="P69" s="3">
        <f t="shared" si="42"/>
        <v>22.337278106508876</v>
      </c>
      <c r="Q69">
        <v>200</v>
      </c>
      <c r="R69">
        <v>151</v>
      </c>
      <c r="S69">
        <v>249</v>
      </c>
      <c r="T69" s="1">
        <f t="shared" si="43"/>
        <v>400</v>
      </c>
      <c r="U69" s="3">
        <f t="shared" si="44"/>
        <v>37.75</v>
      </c>
      <c r="V69">
        <v>9</v>
      </c>
      <c r="W69" s="3">
        <f t="shared" si="45"/>
        <v>2.25</v>
      </c>
      <c r="X69">
        <v>391</v>
      </c>
      <c r="Y69">
        <v>0</v>
      </c>
      <c r="Z69">
        <v>0</v>
      </c>
      <c r="AA69">
        <v>84</v>
      </c>
      <c r="AB69" s="3">
        <f t="shared" si="46"/>
        <v>21</v>
      </c>
      <c r="AC69">
        <v>13</v>
      </c>
      <c r="AD69" s="3">
        <f t="shared" si="47"/>
        <v>3.25</v>
      </c>
      <c r="AE69">
        <v>33</v>
      </c>
      <c r="AF69" s="3">
        <f t="shared" si="48"/>
        <v>8.25</v>
      </c>
      <c r="AG69">
        <v>22</v>
      </c>
      <c r="AH69" s="3">
        <f t="shared" si="49"/>
        <v>5.5</v>
      </c>
      <c r="AI69">
        <v>169</v>
      </c>
      <c r="AJ69" s="3">
        <f t="shared" si="50"/>
        <v>42.25</v>
      </c>
      <c r="AK69">
        <v>20</v>
      </c>
      <c r="AL69" s="3">
        <f t="shared" si="51"/>
        <v>5</v>
      </c>
      <c r="AM69">
        <v>5</v>
      </c>
      <c r="AN69" s="3">
        <f t="shared" si="52"/>
        <v>1.25</v>
      </c>
      <c r="AO69">
        <v>8</v>
      </c>
      <c r="AP69" s="3">
        <f t="shared" si="53"/>
        <v>2</v>
      </c>
      <c r="AQ69">
        <v>6</v>
      </c>
      <c r="AR69" s="3">
        <f t="shared" si="54"/>
        <v>1.5</v>
      </c>
      <c r="AS69">
        <v>10</v>
      </c>
      <c r="AT69" s="3">
        <f t="shared" si="55"/>
        <v>2.5</v>
      </c>
      <c r="AU69">
        <v>0</v>
      </c>
      <c r="AV69" s="3">
        <f t="shared" si="56"/>
        <v>0</v>
      </c>
      <c r="AW69">
        <v>3</v>
      </c>
      <c r="AX69" s="3">
        <f t="shared" si="57"/>
        <v>0.75</v>
      </c>
      <c r="AY69">
        <v>4</v>
      </c>
      <c r="AZ69" s="3">
        <f t="shared" si="58"/>
        <v>1</v>
      </c>
      <c r="BA69">
        <v>14</v>
      </c>
      <c r="BB69" s="3">
        <f t="shared" si="59"/>
        <v>3.5</v>
      </c>
      <c r="BC69" t="s">
        <v>314</v>
      </c>
      <c r="BD69" s="72">
        <v>2017</v>
      </c>
      <c r="BE69" s="1"/>
      <c r="BF69"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80.510489510489521</v>
      </c>
      <c r="BG69" s="10">
        <f>2*(Дума_партии[[#This Row],[5. Всероссийская политическая партия "ЕДИНАЯ РОССИЯ"]]-(AB$203/100)*Дума_партии[[#This Row],[Число действительных избирательных бюллетеней]])</f>
        <v>115.13000000000002</v>
      </c>
      <c r="BH69" s="10">
        <f>(Дума_партии[[#This Row],[Вброс]]+Дума_партии[[#This Row],[Перекладывание]])/2</f>
        <v>97.820244755244772</v>
      </c>
    </row>
    <row r="70" spans="1:60" x14ac:dyDescent="0.4">
      <c r="A70" t="s">
        <v>49</v>
      </c>
      <c r="B70" t="s">
        <v>50</v>
      </c>
      <c r="C70" t="s">
        <v>51</v>
      </c>
      <c r="D70" t="s">
        <v>138</v>
      </c>
      <c r="E70" t="s">
        <v>198</v>
      </c>
      <c r="F70" s="8">
        <f t="shared" ca="1" si="40"/>
        <v>3954</v>
      </c>
      <c r="G70" t="s">
        <v>329</v>
      </c>
      <c r="H70" s="1" t="str">
        <f>LEFT(Дума_партии[[#This Row],[tik]],4)&amp;"."&amp;IF(ISNUMBER(VALUE(RIGHT(Дума_партии[[#This Row],[tik]]))),RIGHT(Дума_партии[[#This Row],[tik]]),"")</f>
        <v>Один.</v>
      </c>
      <c r="I70">
        <v>1850</v>
      </c>
      <c r="J70" s="8">
        <f>Дума_партии[[#This Row],[Число избирателей, внесенных в список избирателей на момент окончания голосования]]</f>
        <v>1850</v>
      </c>
      <c r="K70">
        <v>1500</v>
      </c>
      <c r="L70">
        <v>0</v>
      </c>
      <c r="M70">
        <v>719</v>
      </c>
      <c r="N70">
        <v>150</v>
      </c>
      <c r="O70" s="3">
        <f t="shared" si="41"/>
        <v>46.972972972972975</v>
      </c>
      <c r="P70" s="3">
        <f t="shared" si="42"/>
        <v>8.1081081081081088</v>
      </c>
      <c r="Q70">
        <v>631</v>
      </c>
      <c r="R70">
        <v>149</v>
      </c>
      <c r="S70">
        <v>717</v>
      </c>
      <c r="T70" s="1">
        <f t="shared" si="43"/>
        <v>866</v>
      </c>
      <c r="U70" s="3">
        <f t="shared" si="44"/>
        <v>17.20554272517321</v>
      </c>
      <c r="V70">
        <v>43</v>
      </c>
      <c r="W70" s="3">
        <f t="shared" si="45"/>
        <v>4.9653579676674369</v>
      </c>
      <c r="X70">
        <v>823</v>
      </c>
      <c r="Y70">
        <v>0</v>
      </c>
      <c r="Z70">
        <v>0</v>
      </c>
      <c r="AA70">
        <v>227</v>
      </c>
      <c r="AB70" s="3">
        <f t="shared" si="46"/>
        <v>26.212471131639724</v>
      </c>
      <c r="AC70">
        <v>10</v>
      </c>
      <c r="AD70" s="3">
        <f t="shared" si="47"/>
        <v>1.1547344110854503</v>
      </c>
      <c r="AE70">
        <v>89</v>
      </c>
      <c r="AF70" s="3">
        <f t="shared" si="48"/>
        <v>10.277136258660509</v>
      </c>
      <c r="AG70">
        <v>41</v>
      </c>
      <c r="AH70" s="3">
        <f t="shared" si="49"/>
        <v>4.7344110854503461</v>
      </c>
      <c r="AI70">
        <v>277</v>
      </c>
      <c r="AJ70" s="3">
        <f t="shared" si="50"/>
        <v>31.986143187066975</v>
      </c>
      <c r="AK70">
        <v>72</v>
      </c>
      <c r="AL70" s="3">
        <f t="shared" si="51"/>
        <v>8.3140877598152425</v>
      </c>
      <c r="AM70">
        <v>9</v>
      </c>
      <c r="AN70" s="3">
        <f t="shared" si="52"/>
        <v>1.0392609699769053</v>
      </c>
      <c r="AO70">
        <v>6</v>
      </c>
      <c r="AP70" s="3">
        <f t="shared" si="53"/>
        <v>0.69284064665127021</v>
      </c>
      <c r="AQ70">
        <v>10</v>
      </c>
      <c r="AR70" s="3">
        <f t="shared" si="54"/>
        <v>1.1547344110854503</v>
      </c>
      <c r="AS70">
        <v>36</v>
      </c>
      <c r="AT70" s="3">
        <f t="shared" si="55"/>
        <v>4.1570438799076213</v>
      </c>
      <c r="AU70">
        <v>1</v>
      </c>
      <c r="AV70" s="3">
        <f t="shared" si="56"/>
        <v>0.11547344110854503</v>
      </c>
      <c r="AW70">
        <v>5</v>
      </c>
      <c r="AX70" s="3">
        <f t="shared" si="57"/>
        <v>0.57736720554272514</v>
      </c>
      <c r="AY70">
        <v>10</v>
      </c>
      <c r="AZ70" s="3">
        <f t="shared" si="58"/>
        <v>1.1547344110854503</v>
      </c>
      <c r="BA70">
        <v>30</v>
      </c>
      <c r="BB70" s="3">
        <f t="shared" si="59"/>
        <v>3.464203233256351</v>
      </c>
      <c r="BC70" t="s">
        <v>314</v>
      </c>
      <c r="BD70" s="72">
        <v>2017</v>
      </c>
      <c r="BE70" s="1"/>
      <c r="BF70"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59.363636363636402</v>
      </c>
      <c r="BG70" s="10">
        <f>2*(Дума_партии[[#This Row],[5. Всероссийская политическая партия "ЕДИНАЯ РОССИЯ"]]-(AB$203/100)*Дума_партии[[#This Row],[Число действительных избирательных бюллетеней]])</f>
        <v>84.890000000000043</v>
      </c>
      <c r="BH70" s="10">
        <f>(Дума_партии[[#This Row],[Вброс]]+Дума_партии[[#This Row],[Перекладывание]])/2</f>
        <v>72.126818181818223</v>
      </c>
    </row>
    <row r="71" spans="1:60" x14ac:dyDescent="0.4">
      <c r="A71" t="s">
        <v>49</v>
      </c>
      <c r="B71" t="s">
        <v>50</v>
      </c>
      <c r="C71" t="s">
        <v>51</v>
      </c>
      <c r="D71" t="s">
        <v>138</v>
      </c>
      <c r="E71" t="s">
        <v>199</v>
      </c>
      <c r="F71" s="8">
        <f t="shared" ca="1" si="40"/>
        <v>3955</v>
      </c>
      <c r="G71" t="s">
        <v>330</v>
      </c>
      <c r="H71" s="1" t="str">
        <f>LEFT(Дума_партии[[#This Row],[tik]],4)&amp;"."&amp;IF(ISNUMBER(VALUE(RIGHT(Дума_партии[[#This Row],[tik]]))),RIGHT(Дума_партии[[#This Row],[tik]]),"")</f>
        <v>Один.</v>
      </c>
      <c r="I71">
        <v>1907</v>
      </c>
      <c r="J71" s="8">
        <f>Дума_партии[[#This Row],[Число избирателей, внесенных в список избирателей на момент окончания голосования]]</f>
        <v>1907</v>
      </c>
      <c r="K71">
        <v>1500</v>
      </c>
      <c r="L71">
        <v>0</v>
      </c>
      <c r="M71">
        <v>892</v>
      </c>
      <c r="N71">
        <v>117</v>
      </c>
      <c r="O71" s="3">
        <f t="shared" si="41"/>
        <v>52.910330361824855</v>
      </c>
      <c r="P71" s="3">
        <f t="shared" si="42"/>
        <v>6.1352910330361823</v>
      </c>
      <c r="Q71">
        <v>491</v>
      </c>
      <c r="R71">
        <v>117</v>
      </c>
      <c r="S71">
        <v>892</v>
      </c>
      <c r="T71" s="1">
        <f t="shared" si="43"/>
        <v>1009</v>
      </c>
      <c r="U71" s="3">
        <f t="shared" si="44"/>
        <v>11.595639246778989</v>
      </c>
      <c r="V71">
        <v>29</v>
      </c>
      <c r="W71" s="3">
        <f t="shared" si="45"/>
        <v>2.8741328047571852</v>
      </c>
      <c r="X71">
        <v>980</v>
      </c>
      <c r="Y71">
        <v>0</v>
      </c>
      <c r="Z71">
        <v>0</v>
      </c>
      <c r="AA71">
        <v>248</v>
      </c>
      <c r="AB71" s="3">
        <f t="shared" si="46"/>
        <v>24.578790882061448</v>
      </c>
      <c r="AC71">
        <v>23</v>
      </c>
      <c r="AD71" s="3">
        <f t="shared" si="47"/>
        <v>2.2794846382556986</v>
      </c>
      <c r="AE71">
        <v>103</v>
      </c>
      <c r="AF71" s="3">
        <f t="shared" si="48"/>
        <v>10.20812685827552</v>
      </c>
      <c r="AG71">
        <v>90</v>
      </c>
      <c r="AH71" s="3">
        <f t="shared" si="49"/>
        <v>8.9197224975222991</v>
      </c>
      <c r="AI71">
        <v>299</v>
      </c>
      <c r="AJ71" s="3">
        <f t="shared" si="50"/>
        <v>29.633300297324084</v>
      </c>
      <c r="AK71">
        <v>98</v>
      </c>
      <c r="AL71" s="3">
        <f t="shared" si="51"/>
        <v>9.7125867195242819</v>
      </c>
      <c r="AM71">
        <v>9</v>
      </c>
      <c r="AN71" s="3">
        <f t="shared" si="52"/>
        <v>0.89197224975222988</v>
      </c>
      <c r="AO71">
        <v>5</v>
      </c>
      <c r="AP71" s="3">
        <f t="shared" si="53"/>
        <v>0.49554013875123887</v>
      </c>
      <c r="AQ71">
        <v>12</v>
      </c>
      <c r="AR71" s="3">
        <f t="shared" si="54"/>
        <v>1.1892963330029733</v>
      </c>
      <c r="AS71">
        <v>32</v>
      </c>
      <c r="AT71" s="3">
        <f t="shared" si="55"/>
        <v>3.1714568880079286</v>
      </c>
      <c r="AU71">
        <v>0</v>
      </c>
      <c r="AV71" s="3">
        <f t="shared" si="56"/>
        <v>0</v>
      </c>
      <c r="AW71">
        <v>13</v>
      </c>
      <c r="AX71" s="3">
        <f t="shared" si="57"/>
        <v>1.288404360753221</v>
      </c>
      <c r="AY71">
        <v>11</v>
      </c>
      <c r="AZ71" s="3">
        <f t="shared" si="58"/>
        <v>1.0901883052527255</v>
      </c>
      <c r="BA71">
        <v>37</v>
      </c>
      <c r="BB71" s="3">
        <f t="shared" si="59"/>
        <v>3.6669970267591676</v>
      </c>
      <c r="BC71" t="s">
        <v>314</v>
      </c>
      <c r="BD71" s="72">
        <v>2017</v>
      </c>
      <c r="BE71" s="1"/>
      <c r="BF71"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27.552447552447575</v>
      </c>
      <c r="BG71" s="10">
        <f>2*(Дума_партии[[#This Row],[5. Всероссийская политическая партия "ЕДИНАЯ РОССИЯ"]]-(AB$203/100)*Дума_партии[[#This Row],[Число действительных избирательных бюллетеней]])</f>
        <v>39.400000000000091</v>
      </c>
      <c r="BH71" s="10">
        <f>(Дума_партии[[#This Row],[Вброс]]+Дума_партии[[#This Row],[Перекладывание]])/2</f>
        <v>33.476223776223833</v>
      </c>
    </row>
    <row r="72" spans="1:60" x14ac:dyDescent="0.4">
      <c r="A72" t="s">
        <v>49</v>
      </c>
      <c r="B72" t="s">
        <v>50</v>
      </c>
      <c r="C72" t="s">
        <v>51</v>
      </c>
      <c r="D72" t="s">
        <v>138</v>
      </c>
      <c r="E72" t="s">
        <v>200</v>
      </c>
      <c r="F72" s="8">
        <f t="shared" ca="1" si="40"/>
        <v>3957</v>
      </c>
      <c r="G72" t="s">
        <v>331</v>
      </c>
      <c r="H72" s="1" t="str">
        <f>LEFT(Дума_партии[[#This Row],[tik]],4)&amp;"."&amp;IF(ISNUMBER(VALUE(RIGHT(Дума_партии[[#This Row],[tik]]))),RIGHT(Дума_партии[[#This Row],[tik]]),"")</f>
        <v>Один.</v>
      </c>
      <c r="I72">
        <v>1238</v>
      </c>
      <c r="J72" s="8">
        <f>Дума_партии[[#This Row],[Число избирателей, внесенных в список избирателей на момент окончания голосования]]</f>
        <v>1238</v>
      </c>
      <c r="K72">
        <v>1000</v>
      </c>
      <c r="L72">
        <v>0</v>
      </c>
      <c r="M72">
        <v>431</v>
      </c>
      <c r="N72">
        <v>27</v>
      </c>
      <c r="O72" s="3">
        <f t="shared" si="41"/>
        <v>36.995153473344104</v>
      </c>
      <c r="P72" s="3">
        <f t="shared" si="42"/>
        <v>2.1809369951534734</v>
      </c>
      <c r="Q72">
        <v>542</v>
      </c>
      <c r="R72">
        <v>27</v>
      </c>
      <c r="S72">
        <v>431</v>
      </c>
      <c r="T72" s="1">
        <f t="shared" si="43"/>
        <v>458</v>
      </c>
      <c r="U72" s="3">
        <f t="shared" si="44"/>
        <v>5.8951965065502181</v>
      </c>
      <c r="V72">
        <v>23</v>
      </c>
      <c r="W72" s="3">
        <f t="shared" si="45"/>
        <v>5.0218340611353716</v>
      </c>
      <c r="X72">
        <v>435</v>
      </c>
      <c r="Y72">
        <v>0</v>
      </c>
      <c r="Z72">
        <v>0</v>
      </c>
      <c r="AA72">
        <v>120</v>
      </c>
      <c r="AB72" s="3">
        <f t="shared" si="46"/>
        <v>26.200873362445414</v>
      </c>
      <c r="AC72">
        <v>7</v>
      </c>
      <c r="AD72" s="3">
        <f t="shared" si="47"/>
        <v>1.5283842794759825</v>
      </c>
      <c r="AE72">
        <v>28</v>
      </c>
      <c r="AF72" s="3">
        <f t="shared" si="48"/>
        <v>6.1135371179039302</v>
      </c>
      <c r="AG72">
        <v>24</v>
      </c>
      <c r="AH72" s="3">
        <f t="shared" si="49"/>
        <v>5.2401746724890828</v>
      </c>
      <c r="AI72">
        <v>172</v>
      </c>
      <c r="AJ72" s="3">
        <f t="shared" si="50"/>
        <v>37.554585152838428</v>
      </c>
      <c r="AK72">
        <v>35</v>
      </c>
      <c r="AL72" s="3">
        <f t="shared" si="51"/>
        <v>7.6419213973799129</v>
      </c>
      <c r="AM72">
        <v>10</v>
      </c>
      <c r="AN72" s="3">
        <f t="shared" si="52"/>
        <v>2.1834061135371181</v>
      </c>
      <c r="AO72">
        <v>3</v>
      </c>
      <c r="AP72" s="3">
        <f t="shared" si="53"/>
        <v>0.65502183406113534</v>
      </c>
      <c r="AQ72">
        <v>5</v>
      </c>
      <c r="AR72" s="3">
        <f t="shared" si="54"/>
        <v>1.0917030567685591</v>
      </c>
      <c r="AS72">
        <v>5</v>
      </c>
      <c r="AT72" s="3">
        <f t="shared" si="55"/>
        <v>1.0917030567685591</v>
      </c>
      <c r="AU72">
        <v>1</v>
      </c>
      <c r="AV72" s="3">
        <f t="shared" si="56"/>
        <v>0.2183406113537118</v>
      </c>
      <c r="AW72">
        <v>5</v>
      </c>
      <c r="AX72" s="3">
        <f t="shared" si="57"/>
        <v>1.0917030567685591</v>
      </c>
      <c r="AY72">
        <v>5</v>
      </c>
      <c r="AZ72" s="3">
        <f t="shared" si="58"/>
        <v>1.0917030567685591</v>
      </c>
      <c r="BA72">
        <v>15</v>
      </c>
      <c r="BB72" s="3">
        <f t="shared" si="59"/>
        <v>3.2751091703056767</v>
      </c>
      <c r="BC72" t="s">
        <v>314</v>
      </c>
      <c r="BD72" s="72">
        <v>2017</v>
      </c>
      <c r="BE72" s="1"/>
      <c r="BF72"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67.167832167832188</v>
      </c>
      <c r="BG72" s="10">
        <f>2*(Дума_партии[[#This Row],[5. Всероссийская политическая партия "ЕДИНАЯ РОССИЯ"]]-(AB$203/100)*Дума_партии[[#This Row],[Число действительных избирательных бюллетеней]])</f>
        <v>96.050000000000011</v>
      </c>
      <c r="BH72" s="10">
        <f>(Дума_партии[[#This Row],[Вброс]]+Дума_партии[[#This Row],[Перекладывание]])/2</f>
        <v>81.6089160839161</v>
      </c>
    </row>
    <row r="73" spans="1:60" x14ac:dyDescent="0.4">
      <c r="A73" t="s">
        <v>49</v>
      </c>
      <c r="B73" t="s">
        <v>50</v>
      </c>
      <c r="C73" t="s">
        <v>51</v>
      </c>
      <c r="D73" t="s">
        <v>138</v>
      </c>
      <c r="E73" t="s">
        <v>201</v>
      </c>
      <c r="F73" s="8">
        <f t="shared" ca="1" si="40"/>
        <v>3958</v>
      </c>
      <c r="G73" t="s">
        <v>331</v>
      </c>
      <c r="H73" s="1" t="str">
        <f>LEFT(Дума_партии[[#This Row],[tik]],4)&amp;"."&amp;IF(ISNUMBER(VALUE(RIGHT(Дума_партии[[#This Row],[tik]]))),RIGHT(Дума_партии[[#This Row],[tik]]),"")</f>
        <v>Один.</v>
      </c>
      <c r="I73">
        <v>1122</v>
      </c>
      <c r="J73" s="8">
        <f>Дума_партии[[#This Row],[Число избирателей, внесенных в список избирателей на момент окончания голосования]]</f>
        <v>1122</v>
      </c>
      <c r="K73">
        <v>1000</v>
      </c>
      <c r="L73">
        <v>0</v>
      </c>
      <c r="M73">
        <v>438</v>
      </c>
      <c r="N73">
        <v>33</v>
      </c>
      <c r="O73" s="3">
        <f t="shared" si="41"/>
        <v>41.978609625668447</v>
      </c>
      <c r="P73" s="3">
        <f t="shared" si="42"/>
        <v>2.9411764705882355</v>
      </c>
      <c r="Q73">
        <v>529</v>
      </c>
      <c r="R73">
        <v>33</v>
      </c>
      <c r="S73">
        <v>437</v>
      </c>
      <c r="T73" s="1">
        <f t="shared" si="43"/>
        <v>470</v>
      </c>
      <c r="U73" s="3">
        <f t="shared" si="44"/>
        <v>7.0212765957446805</v>
      </c>
      <c r="V73">
        <v>12</v>
      </c>
      <c r="W73" s="3">
        <f t="shared" si="45"/>
        <v>2.5531914893617023</v>
      </c>
      <c r="X73">
        <v>458</v>
      </c>
      <c r="Y73">
        <v>0</v>
      </c>
      <c r="Z73">
        <v>0</v>
      </c>
      <c r="AA73">
        <v>107</v>
      </c>
      <c r="AB73" s="3">
        <f t="shared" si="46"/>
        <v>22.76595744680851</v>
      </c>
      <c r="AC73">
        <v>3</v>
      </c>
      <c r="AD73" s="3">
        <f t="shared" si="47"/>
        <v>0.63829787234042556</v>
      </c>
      <c r="AE73">
        <v>60</v>
      </c>
      <c r="AF73" s="3">
        <f t="shared" si="48"/>
        <v>12.76595744680851</v>
      </c>
      <c r="AG73">
        <v>23</v>
      </c>
      <c r="AH73" s="3">
        <f t="shared" si="49"/>
        <v>4.8936170212765955</v>
      </c>
      <c r="AI73">
        <v>154</v>
      </c>
      <c r="AJ73" s="3">
        <f t="shared" si="50"/>
        <v>32.765957446808514</v>
      </c>
      <c r="AK73">
        <v>49</v>
      </c>
      <c r="AL73" s="3">
        <f t="shared" si="51"/>
        <v>10.425531914893616</v>
      </c>
      <c r="AM73">
        <v>11</v>
      </c>
      <c r="AN73" s="3">
        <f t="shared" si="52"/>
        <v>2.3404255319148937</v>
      </c>
      <c r="AO73">
        <v>3</v>
      </c>
      <c r="AP73" s="3">
        <f t="shared" si="53"/>
        <v>0.63829787234042556</v>
      </c>
      <c r="AQ73">
        <v>9</v>
      </c>
      <c r="AR73" s="3">
        <f t="shared" si="54"/>
        <v>1.9148936170212767</v>
      </c>
      <c r="AS73">
        <v>9</v>
      </c>
      <c r="AT73" s="3">
        <f t="shared" si="55"/>
        <v>1.9148936170212767</v>
      </c>
      <c r="AU73">
        <v>1</v>
      </c>
      <c r="AV73" s="3">
        <f t="shared" si="56"/>
        <v>0.21276595744680851</v>
      </c>
      <c r="AW73">
        <v>3</v>
      </c>
      <c r="AX73" s="3">
        <f t="shared" si="57"/>
        <v>0.63829787234042556</v>
      </c>
      <c r="AY73">
        <v>8</v>
      </c>
      <c r="AZ73" s="3">
        <f t="shared" si="58"/>
        <v>1.7021276595744681</v>
      </c>
      <c r="BA73">
        <v>18</v>
      </c>
      <c r="BB73" s="3">
        <f t="shared" si="59"/>
        <v>3.8297872340425534</v>
      </c>
      <c r="BC73" t="s">
        <v>314</v>
      </c>
      <c r="BD73" s="72">
        <v>2017</v>
      </c>
      <c r="BE73" s="1"/>
      <c r="BF73"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32.825174825174841</v>
      </c>
      <c r="BG73" s="10">
        <f>2*(Дума_партии[[#This Row],[5. Всероссийская политическая партия "ЕДИНАЯ РОССИЯ"]]-(AB$203/100)*Дума_партии[[#This Row],[Число действительных избирательных бюллетеней]])</f>
        <v>46.94</v>
      </c>
      <c r="BH73" s="10">
        <f>(Дума_партии[[#This Row],[Вброс]]+Дума_партии[[#This Row],[Перекладывание]])/2</f>
        <v>39.882587412587419</v>
      </c>
    </row>
    <row r="74" spans="1:60" x14ac:dyDescent="0.4">
      <c r="A74" t="s">
        <v>49</v>
      </c>
      <c r="B74" t="s">
        <v>50</v>
      </c>
      <c r="C74" t="s">
        <v>51</v>
      </c>
      <c r="D74" t="s">
        <v>138</v>
      </c>
      <c r="E74" t="s">
        <v>202</v>
      </c>
      <c r="F74" s="8">
        <f t="shared" ca="1" si="40"/>
        <v>3959</v>
      </c>
      <c r="G74" t="s">
        <v>332</v>
      </c>
      <c r="H74" s="1" t="str">
        <f>LEFT(Дума_партии[[#This Row],[tik]],4)&amp;"."&amp;IF(ISNUMBER(VALUE(RIGHT(Дума_партии[[#This Row],[tik]]))),RIGHT(Дума_партии[[#This Row],[tik]]),"")</f>
        <v>Один.</v>
      </c>
      <c r="I74">
        <v>1510</v>
      </c>
      <c r="J74" s="8">
        <f>Дума_партии[[#This Row],[Число избирателей, внесенных в список избирателей на момент окончания голосования]]</f>
        <v>1510</v>
      </c>
      <c r="K74">
        <v>1200</v>
      </c>
      <c r="L74">
        <v>0</v>
      </c>
      <c r="M74">
        <v>560</v>
      </c>
      <c r="N74">
        <v>51</v>
      </c>
      <c r="O74" s="3">
        <f t="shared" si="41"/>
        <v>40.463576158940398</v>
      </c>
      <c r="P74" s="3">
        <f t="shared" si="42"/>
        <v>3.3774834437086092</v>
      </c>
      <c r="Q74">
        <v>589</v>
      </c>
      <c r="R74">
        <v>49</v>
      </c>
      <c r="S74">
        <v>553</v>
      </c>
      <c r="T74" s="1">
        <f t="shared" si="43"/>
        <v>602</v>
      </c>
      <c r="U74" s="3">
        <f t="shared" si="44"/>
        <v>8.1395348837209305</v>
      </c>
      <c r="V74">
        <v>40</v>
      </c>
      <c r="W74" s="3">
        <f t="shared" si="45"/>
        <v>6.6445182724252492</v>
      </c>
      <c r="X74">
        <v>562</v>
      </c>
      <c r="Y74">
        <v>0</v>
      </c>
      <c r="Z74">
        <v>0</v>
      </c>
      <c r="AA74">
        <v>141</v>
      </c>
      <c r="AB74" s="3">
        <f t="shared" si="46"/>
        <v>23.421926910299003</v>
      </c>
      <c r="AC74">
        <v>9</v>
      </c>
      <c r="AD74" s="3">
        <f t="shared" si="47"/>
        <v>1.4950166112956811</v>
      </c>
      <c r="AE74">
        <v>53</v>
      </c>
      <c r="AF74" s="3">
        <f t="shared" si="48"/>
        <v>8.8039867109634553</v>
      </c>
      <c r="AG74">
        <v>41</v>
      </c>
      <c r="AH74" s="3">
        <f t="shared" si="49"/>
        <v>6.8106312292358808</v>
      </c>
      <c r="AI74">
        <v>192</v>
      </c>
      <c r="AJ74" s="3">
        <f t="shared" si="50"/>
        <v>31.893687707641195</v>
      </c>
      <c r="AK74">
        <v>55</v>
      </c>
      <c r="AL74" s="3">
        <f t="shared" si="51"/>
        <v>9.1362126245847168</v>
      </c>
      <c r="AM74">
        <v>10</v>
      </c>
      <c r="AN74" s="3">
        <f t="shared" si="52"/>
        <v>1.6611295681063123</v>
      </c>
      <c r="AO74">
        <v>1</v>
      </c>
      <c r="AP74" s="3">
        <f t="shared" si="53"/>
        <v>0.16611295681063123</v>
      </c>
      <c r="AQ74">
        <v>7</v>
      </c>
      <c r="AR74" s="3">
        <f t="shared" si="54"/>
        <v>1.1627906976744187</v>
      </c>
      <c r="AS74">
        <v>12</v>
      </c>
      <c r="AT74" s="3">
        <f t="shared" si="55"/>
        <v>1.9933554817275747</v>
      </c>
      <c r="AU74">
        <v>3</v>
      </c>
      <c r="AV74" s="3">
        <f t="shared" si="56"/>
        <v>0.49833887043189368</v>
      </c>
      <c r="AW74">
        <v>6</v>
      </c>
      <c r="AX74" s="3">
        <f t="shared" si="57"/>
        <v>0.99667774086378735</v>
      </c>
      <c r="AY74">
        <v>8</v>
      </c>
      <c r="AZ74" s="3">
        <f t="shared" si="58"/>
        <v>1.3289036544850499</v>
      </c>
      <c r="BA74">
        <v>24</v>
      </c>
      <c r="BB74" s="3">
        <f t="shared" si="59"/>
        <v>3.9867109634551494</v>
      </c>
      <c r="BC74" t="s">
        <v>314</v>
      </c>
      <c r="BD74" s="72">
        <v>2017</v>
      </c>
      <c r="BE74" s="1">
        <v>1</v>
      </c>
      <c r="BF74"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44.517482517482534</v>
      </c>
      <c r="BG74" s="10">
        <f>2*(Дума_партии[[#This Row],[5. Всероссийская политическая партия "ЕДИНАЯ РОССИЯ"]]-(AB$203/100)*Дума_партии[[#This Row],[Число действительных избирательных бюллетеней]])</f>
        <v>63.660000000000025</v>
      </c>
      <c r="BH74" s="10">
        <f>(Дума_партии[[#This Row],[Вброс]]+Дума_партии[[#This Row],[Перекладывание]])/2</f>
        <v>54.08874125874128</v>
      </c>
    </row>
    <row r="75" spans="1:60" x14ac:dyDescent="0.4">
      <c r="A75" t="s">
        <v>49</v>
      </c>
      <c r="B75" t="s">
        <v>50</v>
      </c>
      <c r="C75" t="s">
        <v>51</v>
      </c>
      <c r="D75" t="s">
        <v>138</v>
      </c>
      <c r="E75" t="s">
        <v>203</v>
      </c>
      <c r="F75" s="8">
        <f t="shared" ca="1" si="40"/>
        <v>3960</v>
      </c>
      <c r="G75" t="s">
        <v>333</v>
      </c>
      <c r="H75" s="1" t="str">
        <f>LEFT(Дума_партии[[#This Row],[tik]],4)&amp;"."&amp;IF(ISNUMBER(VALUE(RIGHT(Дума_партии[[#This Row],[tik]]))),RIGHT(Дума_партии[[#This Row],[tik]]),"")</f>
        <v>Один.</v>
      </c>
      <c r="I75">
        <v>1776</v>
      </c>
      <c r="J75" s="8">
        <f>Дума_партии[[#This Row],[Число избирателей, внесенных в список избирателей на момент окончания голосования]]</f>
        <v>1776</v>
      </c>
      <c r="K75">
        <v>1500</v>
      </c>
      <c r="L75">
        <v>0</v>
      </c>
      <c r="M75">
        <v>366</v>
      </c>
      <c r="N75">
        <v>32</v>
      </c>
      <c r="O75" s="3">
        <f t="shared" si="41"/>
        <v>22.40990990990991</v>
      </c>
      <c r="P75" s="3">
        <f t="shared" si="42"/>
        <v>1.8018018018018018</v>
      </c>
      <c r="Q75">
        <v>1102</v>
      </c>
      <c r="R75">
        <v>32</v>
      </c>
      <c r="S75">
        <v>366</v>
      </c>
      <c r="T75" s="1">
        <f t="shared" si="43"/>
        <v>398</v>
      </c>
      <c r="U75" s="3">
        <f t="shared" si="44"/>
        <v>8.0402010050251249</v>
      </c>
      <c r="V75">
        <v>8</v>
      </c>
      <c r="W75" s="3">
        <f t="shared" si="45"/>
        <v>2.0100502512562812</v>
      </c>
      <c r="X75">
        <v>390</v>
      </c>
      <c r="Y75">
        <v>0</v>
      </c>
      <c r="Z75">
        <v>0</v>
      </c>
      <c r="AA75">
        <v>117</v>
      </c>
      <c r="AB75" s="3">
        <f t="shared" si="46"/>
        <v>29.396984924623116</v>
      </c>
      <c r="AC75">
        <v>9</v>
      </c>
      <c r="AD75" s="3">
        <f t="shared" si="47"/>
        <v>2.2613065326633164</v>
      </c>
      <c r="AE75">
        <v>28</v>
      </c>
      <c r="AF75" s="3">
        <f t="shared" si="48"/>
        <v>7.0351758793969852</v>
      </c>
      <c r="AG75">
        <v>43</v>
      </c>
      <c r="AH75" s="3">
        <f t="shared" si="49"/>
        <v>10.804020100502512</v>
      </c>
      <c r="AI75">
        <v>104</v>
      </c>
      <c r="AJ75" s="3">
        <f t="shared" si="50"/>
        <v>26.13065326633166</v>
      </c>
      <c r="AK75">
        <v>39</v>
      </c>
      <c r="AL75" s="3">
        <f t="shared" si="51"/>
        <v>9.7989949748743719</v>
      </c>
      <c r="AM75">
        <v>13</v>
      </c>
      <c r="AN75" s="3">
        <f t="shared" si="52"/>
        <v>3.2663316582914574</v>
      </c>
      <c r="AO75">
        <v>1</v>
      </c>
      <c r="AP75" s="3">
        <f t="shared" si="53"/>
        <v>0.25125628140703515</v>
      </c>
      <c r="AQ75">
        <v>7</v>
      </c>
      <c r="AR75" s="3">
        <f t="shared" si="54"/>
        <v>1.7587939698492463</v>
      </c>
      <c r="AS75">
        <v>10</v>
      </c>
      <c r="AT75" s="3">
        <f t="shared" si="55"/>
        <v>2.512562814070352</v>
      </c>
      <c r="AU75">
        <v>1</v>
      </c>
      <c r="AV75" s="3">
        <f t="shared" si="56"/>
        <v>0.25125628140703515</v>
      </c>
      <c r="AW75">
        <v>2</v>
      </c>
      <c r="AX75" s="3">
        <f t="shared" si="57"/>
        <v>0.50251256281407031</v>
      </c>
      <c r="AY75">
        <v>5</v>
      </c>
      <c r="AZ75" s="3">
        <f t="shared" si="58"/>
        <v>1.256281407035176</v>
      </c>
      <c r="BA75">
        <v>11</v>
      </c>
      <c r="BB75" s="3">
        <f t="shared" si="59"/>
        <v>2.7638190954773871</v>
      </c>
      <c r="BC75" t="s">
        <v>314</v>
      </c>
      <c r="BD75" s="72">
        <v>2017</v>
      </c>
      <c r="BE75" s="1"/>
      <c r="BF75"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-9.9999999999999858</v>
      </c>
      <c r="BG75" s="10">
        <f>2*(Дума_партии[[#This Row],[5. Всероссийская политическая партия "ЕДИНАЯ РОССИЯ"]]-(AB$203/100)*Дума_партии[[#This Row],[Число действительных избирательных бюллетеней]])</f>
        <v>-14.299999999999983</v>
      </c>
      <c r="BH75" s="10">
        <f>(Дума_партии[[#This Row],[Вброс]]+Дума_партии[[#This Row],[Перекладывание]])/2</f>
        <v>-12.149999999999984</v>
      </c>
    </row>
    <row r="76" spans="1:60" x14ac:dyDescent="0.4">
      <c r="A76" t="s">
        <v>49</v>
      </c>
      <c r="B76" t="s">
        <v>50</v>
      </c>
      <c r="C76" t="s">
        <v>51</v>
      </c>
      <c r="D76" t="s">
        <v>138</v>
      </c>
      <c r="E76" t="s">
        <v>204</v>
      </c>
      <c r="F76" s="8">
        <f t="shared" ca="1" si="40"/>
        <v>3961</v>
      </c>
      <c r="G76" t="s">
        <v>334</v>
      </c>
      <c r="H76" s="1" t="str">
        <f>LEFT(Дума_партии[[#This Row],[tik]],4)&amp;"."&amp;IF(ISNUMBER(VALUE(RIGHT(Дума_партии[[#This Row],[tik]]))),RIGHT(Дума_партии[[#This Row],[tik]]),"")</f>
        <v>Один.</v>
      </c>
      <c r="I76">
        <v>1310</v>
      </c>
      <c r="J76" s="8">
        <f>Дума_партии[[#This Row],[Число избирателей, внесенных в список избирателей на момент окончания голосования]]</f>
        <v>1310</v>
      </c>
      <c r="K76">
        <v>1000</v>
      </c>
      <c r="L76">
        <v>0</v>
      </c>
      <c r="M76">
        <v>421</v>
      </c>
      <c r="N76">
        <v>42</v>
      </c>
      <c r="O76" s="3">
        <f t="shared" si="41"/>
        <v>35.343511450381676</v>
      </c>
      <c r="P76" s="3">
        <f t="shared" si="42"/>
        <v>3.2061068702290076</v>
      </c>
      <c r="Q76">
        <v>537</v>
      </c>
      <c r="R76">
        <v>42</v>
      </c>
      <c r="S76">
        <v>421</v>
      </c>
      <c r="T76" s="1">
        <f t="shared" si="43"/>
        <v>463</v>
      </c>
      <c r="U76" s="3">
        <f t="shared" si="44"/>
        <v>9.0712742980561547</v>
      </c>
      <c r="V76">
        <v>9</v>
      </c>
      <c r="W76" s="3">
        <f t="shared" si="45"/>
        <v>1.9438444924406046</v>
      </c>
      <c r="X76">
        <v>454</v>
      </c>
      <c r="Y76">
        <v>0</v>
      </c>
      <c r="Z76">
        <v>0</v>
      </c>
      <c r="AA76">
        <v>143</v>
      </c>
      <c r="AB76" s="3">
        <f t="shared" si="46"/>
        <v>30.885529157667385</v>
      </c>
      <c r="AC76">
        <v>9</v>
      </c>
      <c r="AD76" s="3">
        <f t="shared" si="47"/>
        <v>1.9438444924406046</v>
      </c>
      <c r="AE76">
        <v>46</v>
      </c>
      <c r="AF76" s="3">
        <f t="shared" si="48"/>
        <v>9.9352051835853139</v>
      </c>
      <c r="AG76">
        <v>51</v>
      </c>
      <c r="AH76" s="3">
        <f t="shared" si="49"/>
        <v>11.015118790496761</v>
      </c>
      <c r="AI76">
        <v>107</v>
      </c>
      <c r="AJ76" s="3">
        <f t="shared" si="50"/>
        <v>23.110151187904968</v>
      </c>
      <c r="AK76">
        <v>34</v>
      </c>
      <c r="AL76" s="3">
        <f t="shared" si="51"/>
        <v>7.3434125269978399</v>
      </c>
      <c r="AM76">
        <v>14</v>
      </c>
      <c r="AN76" s="3">
        <f t="shared" si="52"/>
        <v>3.0237580993520519</v>
      </c>
      <c r="AO76">
        <v>4</v>
      </c>
      <c r="AP76" s="3">
        <f t="shared" si="53"/>
        <v>0.86393088552915764</v>
      </c>
      <c r="AQ76">
        <v>9</v>
      </c>
      <c r="AR76" s="3">
        <f t="shared" si="54"/>
        <v>1.9438444924406046</v>
      </c>
      <c r="AS76">
        <v>6</v>
      </c>
      <c r="AT76" s="3">
        <f t="shared" si="55"/>
        <v>1.2958963282937366</v>
      </c>
      <c r="AU76">
        <v>0</v>
      </c>
      <c r="AV76" s="3">
        <f t="shared" si="56"/>
        <v>0</v>
      </c>
      <c r="AW76">
        <v>5</v>
      </c>
      <c r="AX76" s="3">
        <f t="shared" si="57"/>
        <v>1.079913606911447</v>
      </c>
      <c r="AY76">
        <v>5</v>
      </c>
      <c r="AZ76" s="3">
        <f t="shared" si="58"/>
        <v>1.079913606911447</v>
      </c>
      <c r="BA76">
        <v>21</v>
      </c>
      <c r="BB76" s="3">
        <f t="shared" si="59"/>
        <v>4.5356371490280774</v>
      </c>
      <c r="BC76" t="s">
        <v>314</v>
      </c>
      <c r="BD76" s="72">
        <v>2017</v>
      </c>
      <c r="BE76" s="1">
        <v>2</v>
      </c>
      <c r="BF76"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-31.314685314685306</v>
      </c>
      <c r="BG76" s="10">
        <f>2*(Дума_партии[[#This Row],[5. Всероссийская политическая партия "ЕДИНАЯ РОССИЯ"]]-(AB$203/100)*Дума_партии[[#This Row],[Число действительных избирательных бюллетеней]])</f>
        <v>-44.779999999999973</v>
      </c>
      <c r="BH76" s="10">
        <f>(Дума_партии[[#This Row],[Вброс]]+Дума_партии[[#This Row],[Перекладывание]])/2</f>
        <v>-38.047342657342639</v>
      </c>
    </row>
    <row r="77" spans="1:60" x14ac:dyDescent="0.4">
      <c r="A77" t="s">
        <v>49</v>
      </c>
      <c r="B77" t="s">
        <v>50</v>
      </c>
      <c r="C77" t="s">
        <v>51</v>
      </c>
      <c r="D77" t="s">
        <v>138</v>
      </c>
      <c r="E77" t="s">
        <v>205</v>
      </c>
      <c r="F77" s="8">
        <f t="shared" ca="1" si="40"/>
        <v>3962</v>
      </c>
      <c r="G77" t="s">
        <v>335</v>
      </c>
      <c r="H77" s="1" t="str">
        <f>LEFT(Дума_партии[[#This Row],[tik]],4)&amp;"."&amp;IF(ISNUMBER(VALUE(RIGHT(Дума_партии[[#This Row],[tik]]))),RIGHT(Дума_партии[[#This Row],[tik]]),"")</f>
        <v>Один.</v>
      </c>
      <c r="I77">
        <v>1330</v>
      </c>
      <c r="J77" s="8">
        <f>Дума_партии[[#This Row],[Число избирателей, внесенных в список избирателей на момент окончания голосования]]</f>
        <v>1330</v>
      </c>
      <c r="K77">
        <v>1000</v>
      </c>
      <c r="L77">
        <v>0</v>
      </c>
      <c r="M77">
        <v>652</v>
      </c>
      <c r="N77">
        <v>30</v>
      </c>
      <c r="O77" s="3">
        <f t="shared" si="41"/>
        <v>51.278195488721806</v>
      </c>
      <c r="P77" s="3">
        <f t="shared" si="42"/>
        <v>2.255639097744361</v>
      </c>
      <c r="Q77">
        <v>318</v>
      </c>
      <c r="R77">
        <v>30</v>
      </c>
      <c r="S77">
        <v>652</v>
      </c>
      <c r="T77" s="1">
        <f t="shared" si="43"/>
        <v>682</v>
      </c>
      <c r="U77" s="3">
        <f t="shared" si="44"/>
        <v>4.3988269794721404</v>
      </c>
      <c r="V77">
        <v>22</v>
      </c>
      <c r="W77" s="3">
        <f t="shared" si="45"/>
        <v>3.225806451612903</v>
      </c>
      <c r="X77">
        <v>660</v>
      </c>
      <c r="Y77">
        <v>0</v>
      </c>
      <c r="Z77">
        <v>0</v>
      </c>
      <c r="AA77">
        <v>159</v>
      </c>
      <c r="AB77" s="3">
        <f t="shared" si="46"/>
        <v>23.313782991202345</v>
      </c>
      <c r="AC77">
        <v>8</v>
      </c>
      <c r="AD77" s="3">
        <f t="shared" si="47"/>
        <v>1.1730205278592376</v>
      </c>
      <c r="AE77">
        <v>44</v>
      </c>
      <c r="AF77" s="3">
        <f t="shared" si="48"/>
        <v>6.4516129032258061</v>
      </c>
      <c r="AG77">
        <v>16</v>
      </c>
      <c r="AH77" s="3">
        <f t="shared" si="49"/>
        <v>2.3460410557184752</v>
      </c>
      <c r="AI77">
        <v>359</v>
      </c>
      <c r="AJ77" s="3">
        <f t="shared" si="50"/>
        <v>52.639296187683286</v>
      </c>
      <c r="AK77">
        <v>30</v>
      </c>
      <c r="AL77" s="3">
        <f t="shared" si="51"/>
        <v>4.3988269794721404</v>
      </c>
      <c r="AM77">
        <v>11</v>
      </c>
      <c r="AN77" s="3">
        <f t="shared" si="52"/>
        <v>1.6129032258064515</v>
      </c>
      <c r="AO77">
        <v>1</v>
      </c>
      <c r="AP77" s="3">
        <f t="shared" si="53"/>
        <v>0.1466275659824047</v>
      </c>
      <c r="AQ77">
        <v>3</v>
      </c>
      <c r="AR77" s="3">
        <f t="shared" si="54"/>
        <v>0.43988269794721407</v>
      </c>
      <c r="AS77">
        <v>7</v>
      </c>
      <c r="AT77" s="3">
        <f t="shared" si="55"/>
        <v>1.0263929618768328</v>
      </c>
      <c r="AU77">
        <v>0</v>
      </c>
      <c r="AV77" s="3">
        <f t="shared" si="56"/>
        <v>0</v>
      </c>
      <c r="AW77">
        <v>2</v>
      </c>
      <c r="AX77" s="3">
        <f t="shared" si="57"/>
        <v>0.2932551319648094</v>
      </c>
      <c r="AY77">
        <v>9</v>
      </c>
      <c r="AZ77" s="3">
        <f t="shared" si="58"/>
        <v>1.3196480938416422</v>
      </c>
      <c r="BA77">
        <v>11</v>
      </c>
      <c r="BB77" s="3">
        <f t="shared" si="59"/>
        <v>1.6129032258064515</v>
      </c>
      <c r="BC77" t="s">
        <v>314</v>
      </c>
      <c r="BD77" t="s">
        <v>455</v>
      </c>
      <c r="BE77" s="1"/>
      <c r="BF77"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239.02097902097904</v>
      </c>
      <c r="BG77" s="10">
        <f>2*(Дума_партии[[#This Row],[5. Всероссийская политическая партия "ЕДИНАЯ РОССИЯ"]]-(AB$203/100)*Дума_партии[[#This Row],[Число действительных избирательных бюллетеней]])</f>
        <v>341.8</v>
      </c>
      <c r="BH77" s="10">
        <f>(Дума_партии[[#This Row],[Вброс]]+Дума_партии[[#This Row],[Перекладывание]])/2</f>
        <v>290.41048951048953</v>
      </c>
    </row>
    <row r="78" spans="1:60" x14ac:dyDescent="0.4">
      <c r="A78" t="s">
        <v>49</v>
      </c>
      <c r="B78" t="s">
        <v>50</v>
      </c>
      <c r="C78" t="s">
        <v>51</v>
      </c>
      <c r="D78" t="s">
        <v>138</v>
      </c>
      <c r="E78" t="s">
        <v>206</v>
      </c>
      <c r="F78" s="8">
        <f t="shared" ca="1" si="40"/>
        <v>3963</v>
      </c>
      <c r="G78" t="s">
        <v>336</v>
      </c>
      <c r="H78" s="1" t="str">
        <f>LEFT(Дума_партии[[#This Row],[tik]],4)&amp;"."&amp;IF(ISNUMBER(VALUE(RIGHT(Дума_партии[[#This Row],[tik]]))),RIGHT(Дума_партии[[#This Row],[tik]]),"")</f>
        <v>Один.</v>
      </c>
      <c r="I78">
        <v>2038</v>
      </c>
      <c r="J78" s="8">
        <f>Дума_партии[[#This Row],[Число избирателей, внесенных в список избирателей на момент окончания голосования]]</f>
        <v>2038</v>
      </c>
      <c r="K78">
        <v>1500</v>
      </c>
      <c r="L78">
        <v>0</v>
      </c>
      <c r="M78">
        <v>850</v>
      </c>
      <c r="N78">
        <v>275</v>
      </c>
      <c r="O78" s="3">
        <f t="shared" si="41"/>
        <v>55.201177625122668</v>
      </c>
      <c r="P78" s="3">
        <f t="shared" si="42"/>
        <v>13.493621197252208</v>
      </c>
      <c r="Q78">
        <v>375</v>
      </c>
      <c r="R78">
        <v>275</v>
      </c>
      <c r="S78">
        <v>849</v>
      </c>
      <c r="T78" s="1">
        <f t="shared" si="43"/>
        <v>1124</v>
      </c>
      <c r="U78" s="3">
        <f t="shared" si="44"/>
        <v>24.466192170818506</v>
      </c>
      <c r="V78">
        <v>29</v>
      </c>
      <c r="W78" s="3">
        <f t="shared" si="45"/>
        <v>2.580071174377224</v>
      </c>
      <c r="X78">
        <v>1095</v>
      </c>
      <c r="Y78">
        <v>0</v>
      </c>
      <c r="Z78">
        <v>0</v>
      </c>
      <c r="AA78">
        <v>236</v>
      </c>
      <c r="AB78" s="3">
        <f t="shared" si="46"/>
        <v>20.996441281138789</v>
      </c>
      <c r="AC78">
        <v>10</v>
      </c>
      <c r="AD78" s="3">
        <f t="shared" si="47"/>
        <v>0.88967971530249113</v>
      </c>
      <c r="AE78">
        <v>99</v>
      </c>
      <c r="AF78" s="3">
        <f t="shared" si="48"/>
        <v>8.8078291814946628</v>
      </c>
      <c r="AG78">
        <v>58</v>
      </c>
      <c r="AH78" s="3">
        <f t="shared" si="49"/>
        <v>5.160142348754448</v>
      </c>
      <c r="AI78">
        <v>514</v>
      </c>
      <c r="AJ78" s="3">
        <f t="shared" si="50"/>
        <v>45.729537366548044</v>
      </c>
      <c r="AK78">
        <v>70</v>
      </c>
      <c r="AL78" s="3">
        <f t="shared" si="51"/>
        <v>6.2277580071174379</v>
      </c>
      <c r="AM78">
        <v>16</v>
      </c>
      <c r="AN78" s="3">
        <f t="shared" si="52"/>
        <v>1.4234875444839858</v>
      </c>
      <c r="AO78">
        <v>6</v>
      </c>
      <c r="AP78" s="3">
        <f t="shared" si="53"/>
        <v>0.53380782918149461</v>
      </c>
      <c r="AQ78">
        <v>4</v>
      </c>
      <c r="AR78" s="3">
        <f t="shared" si="54"/>
        <v>0.35587188612099646</v>
      </c>
      <c r="AS78">
        <v>24</v>
      </c>
      <c r="AT78" s="3">
        <f t="shared" si="55"/>
        <v>2.1352313167259784</v>
      </c>
      <c r="AU78">
        <v>2</v>
      </c>
      <c r="AV78" s="3">
        <f t="shared" si="56"/>
        <v>0.17793594306049823</v>
      </c>
      <c r="AW78">
        <v>9</v>
      </c>
      <c r="AX78" s="3">
        <f t="shared" si="57"/>
        <v>0.80071174377224197</v>
      </c>
      <c r="AY78">
        <v>12</v>
      </c>
      <c r="AZ78" s="3">
        <f t="shared" si="58"/>
        <v>1.0676156583629892</v>
      </c>
      <c r="BA78">
        <v>35</v>
      </c>
      <c r="BB78" s="3">
        <f t="shared" si="59"/>
        <v>3.1138790035587189</v>
      </c>
      <c r="BC78" t="s">
        <v>314</v>
      </c>
      <c r="BD78" s="72">
        <v>2017</v>
      </c>
      <c r="BE78" s="1"/>
      <c r="BF78"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282.41258741258741</v>
      </c>
      <c r="BG78" s="10">
        <f>2*(Дума_партии[[#This Row],[5. Всероссийская политическая партия "ЕДИНАЯ РОССИЯ"]]-(AB$203/100)*Дума_партии[[#This Row],[Число действительных избирательных бюллетеней]])</f>
        <v>403.85</v>
      </c>
      <c r="BH78" s="10">
        <f>(Дума_партии[[#This Row],[Вброс]]+Дума_партии[[#This Row],[Перекладывание]])/2</f>
        <v>343.13129370629372</v>
      </c>
    </row>
    <row r="79" spans="1:60" x14ac:dyDescent="0.4">
      <c r="A79" t="s">
        <v>49</v>
      </c>
      <c r="B79" t="s">
        <v>50</v>
      </c>
      <c r="C79" t="s">
        <v>51</v>
      </c>
      <c r="D79" t="s">
        <v>138</v>
      </c>
      <c r="E79" t="s">
        <v>207</v>
      </c>
      <c r="F79" s="8">
        <f t="shared" ca="1" si="40"/>
        <v>3965</v>
      </c>
      <c r="G79" t="s">
        <v>337</v>
      </c>
      <c r="H79" s="1" t="str">
        <f>LEFT(Дума_партии[[#This Row],[tik]],4)&amp;"."&amp;IF(ISNUMBER(VALUE(RIGHT(Дума_партии[[#This Row],[tik]]))),RIGHT(Дума_партии[[#This Row],[tik]]),"")</f>
        <v>Один.</v>
      </c>
      <c r="I79">
        <v>1190</v>
      </c>
      <c r="J79" s="8">
        <f>Дума_партии[[#This Row],[Число избирателей, внесенных в список избирателей на момент окончания голосования]]</f>
        <v>1190</v>
      </c>
      <c r="K79">
        <v>1000</v>
      </c>
      <c r="L79">
        <v>0</v>
      </c>
      <c r="M79">
        <v>450</v>
      </c>
      <c r="N79">
        <v>238</v>
      </c>
      <c r="O79" s="3">
        <f t="shared" si="41"/>
        <v>57.815126050420169</v>
      </c>
      <c r="P79" s="3">
        <f t="shared" si="42"/>
        <v>20</v>
      </c>
      <c r="Q79">
        <v>312</v>
      </c>
      <c r="R79">
        <v>237</v>
      </c>
      <c r="S79">
        <v>387</v>
      </c>
      <c r="T79" s="1">
        <f t="shared" si="43"/>
        <v>624</v>
      </c>
      <c r="U79" s="3">
        <f t="shared" si="44"/>
        <v>37.980769230769234</v>
      </c>
      <c r="V79">
        <v>13</v>
      </c>
      <c r="W79" s="3">
        <f t="shared" si="45"/>
        <v>2.0833333333333335</v>
      </c>
      <c r="X79">
        <v>611</v>
      </c>
      <c r="Y79">
        <v>0</v>
      </c>
      <c r="Z79">
        <v>0</v>
      </c>
      <c r="AA79">
        <v>108</v>
      </c>
      <c r="AB79" s="3">
        <f t="shared" si="46"/>
        <v>17.307692307692307</v>
      </c>
      <c r="AC79">
        <v>5</v>
      </c>
      <c r="AD79" s="3">
        <f t="shared" si="47"/>
        <v>0.80128205128205132</v>
      </c>
      <c r="AE79">
        <v>45</v>
      </c>
      <c r="AF79" s="3">
        <f t="shared" si="48"/>
        <v>7.2115384615384617</v>
      </c>
      <c r="AG79">
        <v>26</v>
      </c>
      <c r="AH79" s="3">
        <f t="shared" si="49"/>
        <v>4.166666666666667</v>
      </c>
      <c r="AI79">
        <v>309</v>
      </c>
      <c r="AJ79" s="3">
        <f t="shared" si="50"/>
        <v>49.519230769230766</v>
      </c>
      <c r="AK79">
        <v>52</v>
      </c>
      <c r="AL79" s="3">
        <f t="shared" si="51"/>
        <v>8.3333333333333339</v>
      </c>
      <c r="AM79">
        <v>11</v>
      </c>
      <c r="AN79" s="3">
        <f t="shared" si="52"/>
        <v>1.7628205128205128</v>
      </c>
      <c r="AO79">
        <v>4</v>
      </c>
      <c r="AP79" s="3">
        <f t="shared" si="53"/>
        <v>0.64102564102564108</v>
      </c>
      <c r="AQ79">
        <v>2</v>
      </c>
      <c r="AR79" s="3">
        <f t="shared" si="54"/>
        <v>0.32051282051282054</v>
      </c>
      <c r="AS79">
        <v>20</v>
      </c>
      <c r="AT79" s="3">
        <f t="shared" si="55"/>
        <v>3.2051282051282053</v>
      </c>
      <c r="AU79">
        <v>2</v>
      </c>
      <c r="AV79" s="3">
        <f t="shared" si="56"/>
        <v>0.32051282051282054</v>
      </c>
      <c r="AW79">
        <v>4</v>
      </c>
      <c r="AX79" s="3">
        <f t="shared" si="57"/>
        <v>0.64102564102564108</v>
      </c>
      <c r="AY79">
        <v>4</v>
      </c>
      <c r="AZ79" s="3">
        <f t="shared" si="58"/>
        <v>0.64102564102564108</v>
      </c>
      <c r="BA79">
        <v>19</v>
      </c>
      <c r="BB79" s="3">
        <f t="shared" si="59"/>
        <v>3.0448717948717947</v>
      </c>
      <c r="BC79" t="s">
        <v>314</v>
      </c>
      <c r="BD79" s="72">
        <v>2017</v>
      </c>
      <c r="BE79" s="1"/>
      <c r="BF79"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188.62237762237766</v>
      </c>
      <c r="BG79" s="10">
        <f>2*(Дума_партии[[#This Row],[5. Всероссийская политическая партия "ЕДИНАЯ РОССИЯ"]]-(AB$203/100)*Дума_партии[[#This Row],[Число действительных избирательных бюллетеней]])</f>
        <v>269.73</v>
      </c>
      <c r="BH79" s="10">
        <f>(Дума_партии[[#This Row],[Вброс]]+Дума_партии[[#This Row],[Перекладывание]])/2</f>
        <v>229.17618881118884</v>
      </c>
    </row>
    <row r="80" spans="1:60" x14ac:dyDescent="0.4">
      <c r="A80" t="s">
        <v>49</v>
      </c>
      <c r="B80" t="s">
        <v>50</v>
      </c>
      <c r="C80" t="s">
        <v>51</v>
      </c>
      <c r="D80" t="s">
        <v>138</v>
      </c>
      <c r="E80" t="s">
        <v>208</v>
      </c>
      <c r="F80" s="8">
        <f t="shared" ca="1" si="40"/>
        <v>3966</v>
      </c>
      <c r="G80" t="s">
        <v>338</v>
      </c>
      <c r="H80" s="1" t="str">
        <f>LEFT(Дума_партии[[#This Row],[tik]],4)&amp;"."&amp;IF(ISNUMBER(VALUE(RIGHT(Дума_партии[[#This Row],[tik]]))),RIGHT(Дума_партии[[#This Row],[tik]]),"")</f>
        <v>Один.</v>
      </c>
      <c r="I80">
        <v>1521</v>
      </c>
      <c r="J80" s="8">
        <f>Дума_партии[[#This Row],[Число избирателей, внесенных в список избирателей на момент окончания голосования]]</f>
        <v>1521</v>
      </c>
      <c r="K80">
        <v>1300</v>
      </c>
      <c r="L80">
        <v>0</v>
      </c>
      <c r="M80">
        <v>491</v>
      </c>
      <c r="N80">
        <v>298</v>
      </c>
      <c r="O80" s="3">
        <f t="shared" si="41"/>
        <v>51.873767258382642</v>
      </c>
      <c r="P80" s="3">
        <f t="shared" si="42"/>
        <v>19.592373438527286</v>
      </c>
      <c r="Q80">
        <v>511</v>
      </c>
      <c r="R80">
        <v>297</v>
      </c>
      <c r="S80">
        <v>491</v>
      </c>
      <c r="T80" s="1">
        <f t="shared" si="43"/>
        <v>788</v>
      </c>
      <c r="U80" s="3">
        <f t="shared" si="44"/>
        <v>37.690355329949242</v>
      </c>
      <c r="V80">
        <v>23</v>
      </c>
      <c r="W80" s="3">
        <f t="shared" si="45"/>
        <v>2.9187817258883251</v>
      </c>
      <c r="X80">
        <v>765</v>
      </c>
      <c r="Y80">
        <v>0</v>
      </c>
      <c r="Z80">
        <v>0</v>
      </c>
      <c r="AA80">
        <v>128</v>
      </c>
      <c r="AB80" s="3">
        <f t="shared" si="46"/>
        <v>16.243654822335024</v>
      </c>
      <c r="AC80">
        <v>8</v>
      </c>
      <c r="AD80" s="3">
        <f t="shared" si="47"/>
        <v>1.015228426395939</v>
      </c>
      <c r="AE80">
        <v>73</v>
      </c>
      <c r="AF80" s="3">
        <f t="shared" si="48"/>
        <v>9.2639593908629436</v>
      </c>
      <c r="AG80">
        <v>55</v>
      </c>
      <c r="AH80" s="3">
        <f t="shared" si="49"/>
        <v>6.9796954314720816</v>
      </c>
      <c r="AI80">
        <v>349</v>
      </c>
      <c r="AJ80" s="3">
        <f t="shared" si="50"/>
        <v>44.289340101522839</v>
      </c>
      <c r="AK80">
        <v>56</v>
      </c>
      <c r="AL80" s="3">
        <f t="shared" si="51"/>
        <v>7.1065989847715736</v>
      </c>
      <c r="AM80">
        <v>12</v>
      </c>
      <c r="AN80" s="3">
        <f t="shared" si="52"/>
        <v>1.5228426395939085</v>
      </c>
      <c r="AO80">
        <v>3</v>
      </c>
      <c r="AP80" s="3">
        <f t="shared" si="53"/>
        <v>0.38071065989847713</v>
      </c>
      <c r="AQ80">
        <v>13</v>
      </c>
      <c r="AR80" s="3">
        <f t="shared" si="54"/>
        <v>1.649746192893401</v>
      </c>
      <c r="AS80">
        <v>17</v>
      </c>
      <c r="AT80" s="3">
        <f t="shared" si="55"/>
        <v>2.1573604060913705</v>
      </c>
      <c r="AU80">
        <v>1</v>
      </c>
      <c r="AV80" s="3">
        <f t="shared" si="56"/>
        <v>0.12690355329949238</v>
      </c>
      <c r="AW80">
        <v>10</v>
      </c>
      <c r="AX80" s="3">
        <f t="shared" si="57"/>
        <v>1.2690355329949239</v>
      </c>
      <c r="AY80">
        <v>7</v>
      </c>
      <c r="AZ80" s="3">
        <f t="shared" si="58"/>
        <v>0.8883248730964467</v>
      </c>
      <c r="BA80">
        <v>33</v>
      </c>
      <c r="BB80" s="3">
        <f t="shared" si="59"/>
        <v>4.187817258883249</v>
      </c>
      <c r="BC80" t="s">
        <v>314</v>
      </c>
      <c r="BD80" s="72">
        <v>2017</v>
      </c>
      <c r="BE80" s="1"/>
      <c r="BF80"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183.18181818181822</v>
      </c>
      <c r="BG80" s="10">
        <f>2*(Дума_партии[[#This Row],[5. Всероссийская политическая партия "ЕДИНАЯ РОССИЯ"]]-(AB$203/100)*Дума_партии[[#This Row],[Число действительных избирательных бюллетеней]])</f>
        <v>261.95000000000005</v>
      </c>
      <c r="BH80" s="10">
        <f>(Дума_партии[[#This Row],[Вброс]]+Дума_партии[[#This Row],[Перекладывание]])/2</f>
        <v>222.56590909090914</v>
      </c>
    </row>
    <row r="81" spans="1:60" x14ac:dyDescent="0.4">
      <c r="A81" t="s">
        <v>49</v>
      </c>
      <c r="B81" t="s">
        <v>50</v>
      </c>
      <c r="C81" t="s">
        <v>51</v>
      </c>
      <c r="D81" t="s">
        <v>138</v>
      </c>
      <c r="E81" t="s">
        <v>209</v>
      </c>
      <c r="F81" s="8">
        <f t="shared" ca="1" si="40"/>
        <v>3968</v>
      </c>
      <c r="G81" t="s">
        <v>339</v>
      </c>
      <c r="H81" s="1" t="str">
        <f>LEFT(Дума_партии[[#This Row],[tik]],4)&amp;"."&amp;IF(ISNUMBER(VALUE(RIGHT(Дума_партии[[#This Row],[tik]]))),RIGHT(Дума_партии[[#This Row],[tik]]),"")</f>
        <v>Один.</v>
      </c>
      <c r="I81">
        <v>710</v>
      </c>
      <c r="J81" s="8">
        <f>Дума_партии[[#This Row],[Число избирателей, внесенных в список избирателей на момент окончания голосования]]</f>
        <v>710</v>
      </c>
      <c r="K81">
        <v>650</v>
      </c>
      <c r="L81">
        <v>0</v>
      </c>
      <c r="M81">
        <v>199</v>
      </c>
      <c r="N81">
        <v>103</v>
      </c>
      <c r="O81" s="3">
        <f t="shared" si="41"/>
        <v>42.535211267605632</v>
      </c>
      <c r="P81" s="3">
        <f t="shared" si="42"/>
        <v>14.507042253521126</v>
      </c>
      <c r="Q81">
        <v>348</v>
      </c>
      <c r="R81">
        <v>103</v>
      </c>
      <c r="S81">
        <v>199</v>
      </c>
      <c r="T81" s="1">
        <f t="shared" si="43"/>
        <v>302</v>
      </c>
      <c r="U81" s="3">
        <f t="shared" si="44"/>
        <v>34.105960264900659</v>
      </c>
      <c r="V81">
        <v>6</v>
      </c>
      <c r="W81" s="3">
        <f t="shared" si="45"/>
        <v>1.9867549668874172</v>
      </c>
      <c r="X81">
        <v>296</v>
      </c>
      <c r="Y81">
        <v>0</v>
      </c>
      <c r="Z81">
        <v>0</v>
      </c>
      <c r="AA81">
        <v>62</v>
      </c>
      <c r="AB81" s="3">
        <f t="shared" si="46"/>
        <v>20.52980132450331</v>
      </c>
      <c r="AC81">
        <v>3</v>
      </c>
      <c r="AD81" s="3">
        <f t="shared" si="47"/>
        <v>0.99337748344370858</v>
      </c>
      <c r="AE81">
        <v>32</v>
      </c>
      <c r="AF81" s="3">
        <f t="shared" si="48"/>
        <v>10.596026490066226</v>
      </c>
      <c r="AG81">
        <v>9</v>
      </c>
      <c r="AH81" s="3">
        <f t="shared" si="49"/>
        <v>2.9801324503311259</v>
      </c>
      <c r="AI81">
        <v>124</v>
      </c>
      <c r="AJ81" s="3">
        <f t="shared" si="50"/>
        <v>41.059602649006621</v>
      </c>
      <c r="AK81">
        <v>31</v>
      </c>
      <c r="AL81" s="3">
        <f t="shared" si="51"/>
        <v>10.264900662251655</v>
      </c>
      <c r="AM81">
        <v>2</v>
      </c>
      <c r="AN81" s="3">
        <f t="shared" si="52"/>
        <v>0.66225165562913912</v>
      </c>
      <c r="AO81">
        <v>1</v>
      </c>
      <c r="AP81" s="3">
        <f t="shared" si="53"/>
        <v>0.33112582781456956</v>
      </c>
      <c r="AQ81">
        <v>6</v>
      </c>
      <c r="AR81" s="3">
        <f t="shared" si="54"/>
        <v>1.9867549668874172</v>
      </c>
      <c r="AS81">
        <v>6</v>
      </c>
      <c r="AT81" s="3">
        <f t="shared" si="55"/>
        <v>1.9867549668874172</v>
      </c>
      <c r="AU81">
        <v>0</v>
      </c>
      <c r="AV81" s="3">
        <f t="shared" si="56"/>
        <v>0</v>
      </c>
      <c r="AW81">
        <v>4</v>
      </c>
      <c r="AX81" s="3">
        <f t="shared" si="57"/>
        <v>1.3245033112582782</v>
      </c>
      <c r="AY81">
        <v>4</v>
      </c>
      <c r="AZ81" s="3">
        <f t="shared" si="58"/>
        <v>1.3245033112582782</v>
      </c>
      <c r="BA81">
        <v>12</v>
      </c>
      <c r="BB81" s="3">
        <f t="shared" si="59"/>
        <v>3.9735099337748343</v>
      </c>
      <c r="BC81" t="s">
        <v>314</v>
      </c>
      <c r="BD81" s="72">
        <v>2017</v>
      </c>
      <c r="BE81" s="1"/>
      <c r="BF81"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55.440559440559454</v>
      </c>
      <c r="BG81" s="10">
        <f>2*(Дума_партии[[#This Row],[5. Всероссийская политическая партия "ЕДИНАЯ РОССИЯ"]]-(AB$203/100)*Дума_партии[[#This Row],[Число действительных избирательных бюллетеней]])</f>
        <v>79.28</v>
      </c>
      <c r="BH81" s="10">
        <f>(Дума_партии[[#This Row],[Вброс]]+Дума_партии[[#This Row],[Перекладывание]])/2</f>
        <v>67.360279720279721</v>
      </c>
    </row>
    <row r="82" spans="1:60" x14ac:dyDescent="0.4">
      <c r="A82" t="s">
        <v>49</v>
      </c>
      <c r="B82" t="s">
        <v>50</v>
      </c>
      <c r="C82" t="s">
        <v>51</v>
      </c>
      <c r="D82" t="s">
        <v>138</v>
      </c>
      <c r="E82" t="s">
        <v>210</v>
      </c>
      <c r="F82" s="8">
        <f t="shared" ca="1" si="40"/>
        <v>3969</v>
      </c>
      <c r="G82" t="s">
        <v>340</v>
      </c>
      <c r="H82" s="1" t="str">
        <f>LEFT(Дума_партии[[#This Row],[tik]],4)&amp;"."&amp;IF(ISNUMBER(VALUE(RIGHT(Дума_партии[[#This Row],[tik]]))),RIGHT(Дума_партии[[#This Row],[tik]]),"")</f>
        <v>Один.</v>
      </c>
      <c r="I82">
        <v>1525</v>
      </c>
      <c r="J82" s="8">
        <f>Дума_партии[[#This Row],[Число избирателей, внесенных в список избирателей на момент окончания голосования]]</f>
        <v>1525</v>
      </c>
      <c r="K82">
        <v>1300</v>
      </c>
      <c r="L82">
        <v>0</v>
      </c>
      <c r="M82">
        <v>691</v>
      </c>
      <c r="N82">
        <v>95</v>
      </c>
      <c r="O82" s="3">
        <f t="shared" si="41"/>
        <v>51.540983606557376</v>
      </c>
      <c r="P82" s="3">
        <f t="shared" si="42"/>
        <v>6.2295081967213113</v>
      </c>
      <c r="Q82">
        <v>514</v>
      </c>
      <c r="R82">
        <v>95</v>
      </c>
      <c r="S82">
        <v>691</v>
      </c>
      <c r="T82" s="1">
        <f t="shared" si="43"/>
        <v>786</v>
      </c>
      <c r="U82" s="3">
        <f t="shared" si="44"/>
        <v>12.086513994910941</v>
      </c>
      <c r="V82">
        <v>31</v>
      </c>
      <c r="W82" s="3">
        <f t="shared" si="45"/>
        <v>3.9440203562340965</v>
      </c>
      <c r="X82">
        <v>755</v>
      </c>
      <c r="Y82">
        <v>0</v>
      </c>
      <c r="Z82">
        <v>0</v>
      </c>
      <c r="AA82">
        <v>182</v>
      </c>
      <c r="AB82" s="3">
        <f t="shared" si="46"/>
        <v>23.155216284987276</v>
      </c>
      <c r="AC82">
        <v>14</v>
      </c>
      <c r="AD82" s="3">
        <f t="shared" si="47"/>
        <v>1.7811704834605597</v>
      </c>
      <c r="AE82">
        <v>59</v>
      </c>
      <c r="AF82" s="3">
        <f t="shared" si="48"/>
        <v>7.5063613231552164</v>
      </c>
      <c r="AG82">
        <v>57</v>
      </c>
      <c r="AH82" s="3">
        <f t="shared" si="49"/>
        <v>7.2519083969465647</v>
      </c>
      <c r="AI82">
        <v>284</v>
      </c>
      <c r="AJ82" s="3">
        <f t="shared" si="50"/>
        <v>36.132315521628499</v>
      </c>
      <c r="AK82">
        <v>68</v>
      </c>
      <c r="AL82" s="3">
        <f t="shared" si="51"/>
        <v>8.6513994910941481</v>
      </c>
      <c r="AM82">
        <v>10</v>
      </c>
      <c r="AN82" s="3">
        <f t="shared" si="52"/>
        <v>1.272264631043257</v>
      </c>
      <c r="AO82">
        <v>2</v>
      </c>
      <c r="AP82" s="3">
        <f t="shared" si="53"/>
        <v>0.2544529262086514</v>
      </c>
      <c r="AQ82">
        <v>6</v>
      </c>
      <c r="AR82" s="3">
        <f t="shared" si="54"/>
        <v>0.76335877862595425</v>
      </c>
      <c r="AS82">
        <v>20</v>
      </c>
      <c r="AT82" s="3">
        <f t="shared" si="55"/>
        <v>2.5445292620865141</v>
      </c>
      <c r="AU82">
        <v>2</v>
      </c>
      <c r="AV82" s="3">
        <f t="shared" si="56"/>
        <v>0.2544529262086514</v>
      </c>
      <c r="AW82">
        <v>6</v>
      </c>
      <c r="AX82" s="3">
        <f t="shared" si="57"/>
        <v>0.76335877862595425</v>
      </c>
      <c r="AY82">
        <v>9</v>
      </c>
      <c r="AZ82" s="3">
        <f t="shared" si="58"/>
        <v>1.1450381679389312</v>
      </c>
      <c r="BA82">
        <v>36</v>
      </c>
      <c r="BB82" s="3">
        <f t="shared" si="59"/>
        <v>4.5801526717557248</v>
      </c>
      <c r="BC82" t="s">
        <v>314</v>
      </c>
      <c r="BD82" s="72">
        <v>2017</v>
      </c>
      <c r="BE82" s="1"/>
      <c r="BF82"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96.258741258741281</v>
      </c>
      <c r="BG82" s="10">
        <f>2*(Дума_партии[[#This Row],[5. Всероссийская политическая партия "ЕДИНАЯ РОССИЯ"]]-(AB$203/100)*Дума_партии[[#This Row],[Число действительных избирательных бюллетеней]])</f>
        <v>137.65000000000003</v>
      </c>
      <c r="BH82" s="10">
        <f>(Дума_партии[[#This Row],[Вброс]]+Дума_партии[[#This Row],[Перекладывание]])/2</f>
        <v>116.95437062937066</v>
      </c>
    </row>
    <row r="83" spans="1:60" x14ac:dyDescent="0.4">
      <c r="A83" t="s">
        <v>49</v>
      </c>
      <c r="B83" t="s">
        <v>50</v>
      </c>
      <c r="C83" t="s">
        <v>51</v>
      </c>
      <c r="D83" t="s">
        <v>138</v>
      </c>
      <c r="E83" t="s">
        <v>211</v>
      </c>
      <c r="F83" s="8">
        <f t="shared" ca="1" si="40"/>
        <v>3971</v>
      </c>
      <c r="G83" t="s">
        <v>340</v>
      </c>
      <c r="H83" s="1" t="str">
        <f>LEFT(Дума_партии[[#This Row],[tik]],4)&amp;"."&amp;IF(ISNUMBER(VALUE(RIGHT(Дума_партии[[#This Row],[tik]]))),RIGHT(Дума_партии[[#This Row],[tik]]),"")</f>
        <v>Один.</v>
      </c>
      <c r="I83">
        <v>1472</v>
      </c>
      <c r="J83" s="8">
        <f>Дума_партии[[#This Row],[Число избирателей, внесенных в список избирателей на момент окончания голосования]]</f>
        <v>1472</v>
      </c>
      <c r="K83">
        <v>1300</v>
      </c>
      <c r="L83">
        <v>0</v>
      </c>
      <c r="M83">
        <v>583</v>
      </c>
      <c r="N83">
        <v>15</v>
      </c>
      <c r="O83" s="3">
        <f t="shared" si="41"/>
        <v>40.625</v>
      </c>
      <c r="P83" s="3">
        <f t="shared" si="42"/>
        <v>1.0190217391304348</v>
      </c>
      <c r="Q83">
        <v>702</v>
      </c>
      <c r="R83">
        <v>15</v>
      </c>
      <c r="S83">
        <v>583</v>
      </c>
      <c r="T83" s="1">
        <f t="shared" si="43"/>
        <v>598</v>
      </c>
      <c r="U83" s="3">
        <f t="shared" si="44"/>
        <v>2.508361204013378</v>
      </c>
      <c r="V83">
        <v>23</v>
      </c>
      <c r="W83" s="3">
        <f t="shared" si="45"/>
        <v>3.8461538461538463</v>
      </c>
      <c r="X83">
        <v>575</v>
      </c>
      <c r="Y83">
        <v>0</v>
      </c>
      <c r="Z83">
        <v>0</v>
      </c>
      <c r="AA83">
        <v>167</v>
      </c>
      <c r="AB83" s="3">
        <f t="shared" si="46"/>
        <v>27.926421404682273</v>
      </c>
      <c r="AC83">
        <v>6</v>
      </c>
      <c r="AD83" s="3">
        <f t="shared" si="47"/>
        <v>1.0033444816053512</v>
      </c>
      <c r="AE83">
        <v>49</v>
      </c>
      <c r="AF83" s="3">
        <f t="shared" si="48"/>
        <v>8.1939799331103682</v>
      </c>
      <c r="AG83">
        <v>60</v>
      </c>
      <c r="AH83" s="3">
        <f t="shared" si="49"/>
        <v>10.033444816053512</v>
      </c>
      <c r="AI83">
        <v>150</v>
      </c>
      <c r="AJ83" s="3">
        <f t="shared" si="50"/>
        <v>25.083612040133779</v>
      </c>
      <c r="AK83">
        <v>52</v>
      </c>
      <c r="AL83" s="3">
        <f t="shared" si="51"/>
        <v>8.695652173913043</v>
      </c>
      <c r="AM83">
        <v>8</v>
      </c>
      <c r="AN83" s="3">
        <f t="shared" si="52"/>
        <v>1.3377926421404682</v>
      </c>
      <c r="AO83">
        <v>6</v>
      </c>
      <c r="AP83" s="3">
        <f t="shared" si="53"/>
        <v>1.0033444816053512</v>
      </c>
      <c r="AQ83">
        <v>8</v>
      </c>
      <c r="AR83" s="3">
        <f t="shared" si="54"/>
        <v>1.3377926421404682</v>
      </c>
      <c r="AS83">
        <v>20</v>
      </c>
      <c r="AT83" s="3">
        <f t="shared" si="55"/>
        <v>3.3444816053511706</v>
      </c>
      <c r="AU83">
        <v>2</v>
      </c>
      <c r="AV83" s="3">
        <f t="shared" si="56"/>
        <v>0.33444816053511706</v>
      </c>
      <c r="AW83">
        <v>2</v>
      </c>
      <c r="AX83" s="3">
        <f t="shared" si="57"/>
        <v>0.33444816053511706</v>
      </c>
      <c r="AY83">
        <v>14</v>
      </c>
      <c r="AZ83" s="3">
        <f t="shared" si="58"/>
        <v>2.3411371237458196</v>
      </c>
      <c r="BA83">
        <v>31</v>
      </c>
      <c r="BB83" s="3">
        <f t="shared" si="59"/>
        <v>5.183946488294314</v>
      </c>
      <c r="BC83" t="s">
        <v>314</v>
      </c>
      <c r="BD83" s="72">
        <v>2017</v>
      </c>
      <c r="BE83" s="1"/>
      <c r="BF83"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-19.405594405594371</v>
      </c>
      <c r="BG83" s="10">
        <f>2*(Дума_партии[[#This Row],[5. Всероссийская политическая партия "ЕДИНАЯ РОССИЯ"]]-(AB$203/100)*Дума_партии[[#This Row],[Число действительных избирательных бюллетеней]])</f>
        <v>-27.75</v>
      </c>
      <c r="BH83" s="10">
        <f>(Дума_партии[[#This Row],[Вброс]]+Дума_партии[[#This Row],[Перекладывание]])/2</f>
        <v>-23.577797202797186</v>
      </c>
    </row>
    <row r="84" spans="1:60" x14ac:dyDescent="0.4">
      <c r="A84" t="s">
        <v>49</v>
      </c>
      <c r="B84" t="s">
        <v>50</v>
      </c>
      <c r="C84" t="s">
        <v>51</v>
      </c>
      <c r="D84" t="s">
        <v>138</v>
      </c>
      <c r="E84" t="s">
        <v>212</v>
      </c>
      <c r="F84" s="8">
        <f t="shared" ca="1" si="40"/>
        <v>3972</v>
      </c>
      <c r="G84" t="s">
        <v>340</v>
      </c>
      <c r="H84" s="1" t="str">
        <f>LEFT(Дума_партии[[#This Row],[tik]],4)&amp;"."&amp;IF(ISNUMBER(VALUE(RIGHT(Дума_партии[[#This Row],[tik]]))),RIGHT(Дума_партии[[#This Row],[tik]]),"")</f>
        <v>Один.</v>
      </c>
      <c r="I84">
        <v>1933</v>
      </c>
      <c r="J84" s="8">
        <f>Дума_партии[[#This Row],[Число избирателей, внесенных в список избирателей на момент окончания голосования]]</f>
        <v>1933</v>
      </c>
      <c r="K84">
        <v>1500</v>
      </c>
      <c r="L84">
        <v>0</v>
      </c>
      <c r="M84">
        <v>844</v>
      </c>
      <c r="N84">
        <v>82</v>
      </c>
      <c r="O84" s="3">
        <f t="shared" si="41"/>
        <v>47.904811174340402</v>
      </c>
      <c r="P84" s="3">
        <f t="shared" si="42"/>
        <v>4.2421107087428869</v>
      </c>
      <c r="Q84">
        <v>574</v>
      </c>
      <c r="R84">
        <v>82</v>
      </c>
      <c r="S84">
        <v>839</v>
      </c>
      <c r="T84" s="1">
        <f t="shared" si="43"/>
        <v>921</v>
      </c>
      <c r="U84" s="3">
        <f t="shared" si="44"/>
        <v>8.903365906623236</v>
      </c>
      <c r="V84">
        <v>36</v>
      </c>
      <c r="W84" s="3">
        <f t="shared" si="45"/>
        <v>3.9087947882736156</v>
      </c>
      <c r="X84">
        <v>885</v>
      </c>
      <c r="Y84">
        <v>0</v>
      </c>
      <c r="Z84">
        <v>0</v>
      </c>
      <c r="AA84">
        <v>178</v>
      </c>
      <c r="AB84" s="3">
        <f t="shared" si="46"/>
        <v>19.326818675352879</v>
      </c>
      <c r="AC84">
        <v>28</v>
      </c>
      <c r="AD84" s="3">
        <f t="shared" si="47"/>
        <v>3.0401737242128122</v>
      </c>
      <c r="AE84">
        <v>103</v>
      </c>
      <c r="AF84" s="3">
        <f t="shared" si="48"/>
        <v>11.183496199782844</v>
      </c>
      <c r="AG84">
        <v>81</v>
      </c>
      <c r="AH84" s="3">
        <f t="shared" si="49"/>
        <v>8.7947882736156355</v>
      </c>
      <c r="AI84">
        <v>295</v>
      </c>
      <c r="AJ84" s="3">
        <f t="shared" si="50"/>
        <v>32.03040173724213</v>
      </c>
      <c r="AK84">
        <v>73</v>
      </c>
      <c r="AL84" s="3">
        <f t="shared" si="51"/>
        <v>7.9261672095548317</v>
      </c>
      <c r="AM84">
        <v>14</v>
      </c>
      <c r="AN84" s="3">
        <f t="shared" si="52"/>
        <v>1.5200868621064061</v>
      </c>
      <c r="AO84">
        <v>6</v>
      </c>
      <c r="AP84" s="3">
        <f t="shared" si="53"/>
        <v>0.65146579804560256</v>
      </c>
      <c r="AQ84">
        <v>10</v>
      </c>
      <c r="AR84" s="3">
        <f t="shared" si="54"/>
        <v>1.0857763300760044</v>
      </c>
      <c r="AS84">
        <v>29</v>
      </c>
      <c r="AT84" s="3">
        <f t="shared" si="55"/>
        <v>3.1487513572204127</v>
      </c>
      <c r="AU84">
        <v>3</v>
      </c>
      <c r="AV84" s="3">
        <f t="shared" si="56"/>
        <v>0.32573289902280128</v>
      </c>
      <c r="AW84">
        <v>25</v>
      </c>
      <c r="AX84" s="3">
        <f t="shared" si="57"/>
        <v>2.7144408251900107</v>
      </c>
      <c r="AY84">
        <v>7</v>
      </c>
      <c r="AZ84" s="3">
        <f t="shared" si="58"/>
        <v>0.76004343105320304</v>
      </c>
      <c r="BA84">
        <v>33</v>
      </c>
      <c r="BB84" s="3">
        <f t="shared" si="59"/>
        <v>3.5830618892508141</v>
      </c>
      <c r="BC84" t="s">
        <v>314</v>
      </c>
      <c r="BD84" s="72">
        <v>2017</v>
      </c>
      <c r="BE84" s="1"/>
      <c r="BF84"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59.825174825174855</v>
      </c>
      <c r="BG84" s="10">
        <f>2*(Дума_партии[[#This Row],[5. Всероссийская политическая партия "ЕДИНАЯ РОССИЯ"]]-(AB$203/100)*Дума_партии[[#This Row],[Число действительных избирательных бюллетеней]])</f>
        <v>85.550000000000068</v>
      </c>
      <c r="BH84" s="10">
        <f>(Дума_партии[[#This Row],[Вброс]]+Дума_партии[[#This Row],[Перекладывание]])/2</f>
        <v>72.687587412587462</v>
      </c>
    </row>
    <row r="85" spans="1:60" x14ac:dyDescent="0.4">
      <c r="A85" t="s">
        <v>49</v>
      </c>
      <c r="B85" t="s">
        <v>50</v>
      </c>
      <c r="C85" t="s">
        <v>51</v>
      </c>
      <c r="D85" t="s">
        <v>138</v>
      </c>
      <c r="E85" t="s">
        <v>213</v>
      </c>
      <c r="F85" s="8">
        <f t="shared" ca="1" si="40"/>
        <v>3974</v>
      </c>
      <c r="G85" t="s">
        <v>453</v>
      </c>
      <c r="H85" s="1" t="str">
        <f>LEFT(Дума_партии[[#This Row],[tik]],4)&amp;"."&amp;IF(ISNUMBER(VALUE(RIGHT(Дума_партии[[#This Row],[tik]]))),RIGHT(Дума_партии[[#This Row],[tik]]),"")</f>
        <v>Один.</v>
      </c>
      <c r="I85">
        <v>2046</v>
      </c>
      <c r="J85" s="8">
        <f>Дума_партии[[#This Row],[Число избирателей, внесенных в список избирателей на момент окончания голосования]]</f>
        <v>2046</v>
      </c>
      <c r="K85">
        <v>1500</v>
      </c>
      <c r="L85">
        <v>0</v>
      </c>
      <c r="M85">
        <v>774</v>
      </c>
      <c r="N85">
        <v>137</v>
      </c>
      <c r="O85" s="3">
        <f t="shared" si="41"/>
        <v>44.525904203323556</v>
      </c>
      <c r="P85" s="3">
        <f t="shared" si="42"/>
        <v>6.6959921798631479</v>
      </c>
      <c r="Q85">
        <v>589</v>
      </c>
      <c r="R85">
        <v>137</v>
      </c>
      <c r="S85">
        <v>774</v>
      </c>
      <c r="T85" s="1">
        <f t="shared" si="43"/>
        <v>911</v>
      </c>
      <c r="U85" s="3">
        <f t="shared" si="44"/>
        <v>15.038419319429199</v>
      </c>
      <c r="V85">
        <v>82</v>
      </c>
      <c r="W85" s="3">
        <f t="shared" si="45"/>
        <v>9.0010976948408334</v>
      </c>
      <c r="X85">
        <v>829</v>
      </c>
      <c r="Y85">
        <v>0</v>
      </c>
      <c r="Z85">
        <v>0</v>
      </c>
      <c r="AA85">
        <v>204</v>
      </c>
      <c r="AB85" s="3">
        <f t="shared" si="46"/>
        <v>22.39297475301866</v>
      </c>
      <c r="AC85">
        <v>15</v>
      </c>
      <c r="AD85" s="3">
        <f t="shared" si="47"/>
        <v>1.646542261251372</v>
      </c>
      <c r="AE85">
        <v>95</v>
      </c>
      <c r="AF85" s="3">
        <f t="shared" si="48"/>
        <v>10.428100987925356</v>
      </c>
      <c r="AG85">
        <v>61</v>
      </c>
      <c r="AH85" s="3">
        <f t="shared" si="49"/>
        <v>6.6959385290889131</v>
      </c>
      <c r="AI85">
        <v>223</v>
      </c>
      <c r="AJ85" s="3">
        <f t="shared" si="50"/>
        <v>24.478594950603732</v>
      </c>
      <c r="AK85">
        <v>102</v>
      </c>
      <c r="AL85" s="3">
        <f t="shared" si="51"/>
        <v>11.19648737650933</v>
      </c>
      <c r="AM85">
        <v>20</v>
      </c>
      <c r="AN85" s="3">
        <f t="shared" si="52"/>
        <v>2.1953896816684964</v>
      </c>
      <c r="AO85">
        <v>5</v>
      </c>
      <c r="AP85" s="3">
        <f t="shared" si="53"/>
        <v>0.54884742041712409</v>
      </c>
      <c r="AQ85">
        <v>15</v>
      </c>
      <c r="AR85" s="3">
        <f t="shared" si="54"/>
        <v>1.646542261251372</v>
      </c>
      <c r="AS85">
        <v>28</v>
      </c>
      <c r="AT85" s="3">
        <f t="shared" si="55"/>
        <v>3.0735455543358947</v>
      </c>
      <c r="AU85">
        <v>3</v>
      </c>
      <c r="AV85" s="3">
        <f t="shared" si="56"/>
        <v>0.32930845225027444</v>
      </c>
      <c r="AW85">
        <v>9</v>
      </c>
      <c r="AX85" s="3">
        <f t="shared" si="57"/>
        <v>0.98792535675082327</v>
      </c>
      <c r="AY85">
        <v>18</v>
      </c>
      <c r="AZ85" s="3">
        <f t="shared" si="58"/>
        <v>1.9758507135016465</v>
      </c>
      <c r="BA85">
        <v>31</v>
      </c>
      <c r="BB85" s="3">
        <f t="shared" si="59"/>
        <v>3.402854006586169</v>
      </c>
      <c r="BC85" t="s">
        <v>314</v>
      </c>
      <c r="BD85" s="72">
        <v>2017</v>
      </c>
      <c r="BE85" s="1"/>
      <c r="BF85"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-18.552447552447518</v>
      </c>
      <c r="BG85" s="10">
        <f>2*(Дума_партии[[#This Row],[5. Всероссийская политическая партия "ЕДИНАЯ РОССИЯ"]]-(AB$203/100)*Дума_партии[[#This Row],[Число действительных избирательных бюллетеней]])</f>
        <v>-26.529999999999973</v>
      </c>
      <c r="BH85" s="10">
        <f>(Дума_партии[[#This Row],[Вброс]]+Дума_партии[[#This Row],[Перекладывание]])/2</f>
        <v>-22.541223776223745</v>
      </c>
    </row>
    <row r="86" spans="1:60" x14ac:dyDescent="0.4">
      <c r="A86" t="s">
        <v>49</v>
      </c>
      <c r="B86" t="s">
        <v>50</v>
      </c>
      <c r="C86" t="s">
        <v>51</v>
      </c>
      <c r="D86" t="s">
        <v>138</v>
      </c>
      <c r="E86" t="s">
        <v>214</v>
      </c>
      <c r="F86" s="8">
        <f t="shared" ca="1" si="40"/>
        <v>3975</v>
      </c>
      <c r="G86" t="s">
        <v>341</v>
      </c>
      <c r="H86" s="1" t="str">
        <f>LEFT(Дума_партии[[#This Row],[tik]],4)&amp;"."&amp;IF(ISNUMBER(VALUE(RIGHT(Дума_партии[[#This Row],[tik]]))),RIGHT(Дума_партии[[#This Row],[tik]]),"")</f>
        <v>Один.</v>
      </c>
      <c r="I86">
        <v>1706</v>
      </c>
      <c r="J86" s="8">
        <f>Дума_партии[[#This Row],[Число избирателей, внесенных в список избирателей на момент окончания голосования]]</f>
        <v>1706</v>
      </c>
      <c r="K86">
        <v>1500</v>
      </c>
      <c r="L86">
        <v>0</v>
      </c>
      <c r="M86">
        <v>562</v>
      </c>
      <c r="N86">
        <v>131</v>
      </c>
      <c r="O86" s="3">
        <f t="shared" si="41"/>
        <v>40.621336459554513</v>
      </c>
      <c r="P86" s="3">
        <f t="shared" si="42"/>
        <v>7.6787807737397422</v>
      </c>
      <c r="Q86">
        <v>807</v>
      </c>
      <c r="R86">
        <v>131</v>
      </c>
      <c r="S86">
        <v>562</v>
      </c>
      <c r="T86" s="1">
        <f t="shared" si="43"/>
        <v>693</v>
      </c>
      <c r="U86" s="3">
        <f t="shared" si="44"/>
        <v>18.903318903318905</v>
      </c>
      <c r="V86">
        <v>30</v>
      </c>
      <c r="W86" s="3">
        <f t="shared" si="45"/>
        <v>4.329004329004329</v>
      </c>
      <c r="X86">
        <v>663</v>
      </c>
      <c r="Y86">
        <v>0</v>
      </c>
      <c r="Z86">
        <v>0</v>
      </c>
      <c r="AA86">
        <v>147</v>
      </c>
      <c r="AB86" s="3">
        <f t="shared" si="46"/>
        <v>21.212121212121211</v>
      </c>
      <c r="AC86">
        <v>17</v>
      </c>
      <c r="AD86" s="3">
        <f t="shared" si="47"/>
        <v>2.4531024531024532</v>
      </c>
      <c r="AE86">
        <v>61</v>
      </c>
      <c r="AF86" s="3">
        <f t="shared" si="48"/>
        <v>8.8023088023088025</v>
      </c>
      <c r="AG86">
        <v>53</v>
      </c>
      <c r="AH86" s="3">
        <f t="shared" si="49"/>
        <v>7.6479076479076475</v>
      </c>
      <c r="AI86">
        <v>224</v>
      </c>
      <c r="AJ86" s="3">
        <f t="shared" si="50"/>
        <v>32.323232323232325</v>
      </c>
      <c r="AK86">
        <v>72</v>
      </c>
      <c r="AL86" s="3">
        <f t="shared" si="51"/>
        <v>10.38961038961039</v>
      </c>
      <c r="AM86">
        <v>6</v>
      </c>
      <c r="AN86" s="3">
        <f t="shared" si="52"/>
        <v>0.86580086580086579</v>
      </c>
      <c r="AO86">
        <v>8</v>
      </c>
      <c r="AP86" s="3">
        <f t="shared" si="53"/>
        <v>1.1544011544011543</v>
      </c>
      <c r="AQ86">
        <v>6</v>
      </c>
      <c r="AR86" s="3">
        <f t="shared" si="54"/>
        <v>0.86580086580086579</v>
      </c>
      <c r="AS86">
        <v>22</v>
      </c>
      <c r="AT86" s="3">
        <f t="shared" si="55"/>
        <v>3.1746031746031744</v>
      </c>
      <c r="AU86">
        <v>8</v>
      </c>
      <c r="AV86" s="3">
        <f t="shared" si="56"/>
        <v>1.1544011544011543</v>
      </c>
      <c r="AW86">
        <v>8</v>
      </c>
      <c r="AX86" s="3">
        <f t="shared" si="57"/>
        <v>1.1544011544011543</v>
      </c>
      <c r="AY86">
        <v>11</v>
      </c>
      <c r="AZ86" s="3">
        <f t="shared" si="58"/>
        <v>1.5873015873015872</v>
      </c>
      <c r="BA86">
        <v>20</v>
      </c>
      <c r="BB86" s="3">
        <f t="shared" si="59"/>
        <v>2.8860028860028861</v>
      </c>
      <c r="BC86" t="s">
        <v>314</v>
      </c>
      <c r="BD86" s="72">
        <v>2017</v>
      </c>
      <c r="BE86" s="1"/>
      <c r="BF86"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49.013986013986056</v>
      </c>
      <c r="BG86" s="10">
        <f>2*(Дума_партии[[#This Row],[5. Всероссийская политическая партия "ЕДИНАЯ РОССИЯ"]]-(AB$203/100)*Дума_партии[[#This Row],[Число действительных избирательных бюллетеней]])</f>
        <v>70.090000000000032</v>
      </c>
      <c r="BH86" s="10">
        <f>(Дума_партии[[#This Row],[Вброс]]+Дума_партии[[#This Row],[Перекладывание]])/2</f>
        <v>59.551993006993044</v>
      </c>
    </row>
    <row r="87" spans="1:60" x14ac:dyDescent="0.4">
      <c r="A87" t="s">
        <v>49</v>
      </c>
      <c r="B87" t="s">
        <v>50</v>
      </c>
      <c r="C87" t="s">
        <v>51</v>
      </c>
      <c r="D87" t="s">
        <v>138</v>
      </c>
      <c r="E87" t="s">
        <v>215</v>
      </c>
      <c r="F87" s="8">
        <f t="shared" ca="1" si="40"/>
        <v>3976</v>
      </c>
      <c r="G87" t="s">
        <v>341</v>
      </c>
      <c r="H87" s="1" t="str">
        <f>LEFT(Дума_партии[[#This Row],[tik]],4)&amp;"."&amp;IF(ISNUMBER(VALUE(RIGHT(Дума_партии[[#This Row],[tik]]))),RIGHT(Дума_партии[[#This Row],[tik]]),"")</f>
        <v>Один.</v>
      </c>
      <c r="I87">
        <v>1705</v>
      </c>
      <c r="J87" s="8">
        <f>Дума_партии[[#This Row],[Число избирателей, внесенных в список избирателей на момент окончания голосования]]</f>
        <v>1705</v>
      </c>
      <c r="K87">
        <v>1500</v>
      </c>
      <c r="L87">
        <v>0</v>
      </c>
      <c r="M87">
        <v>637</v>
      </c>
      <c r="N87">
        <v>61</v>
      </c>
      <c r="O87" s="3">
        <f t="shared" si="41"/>
        <v>40.938416422287389</v>
      </c>
      <c r="P87" s="3">
        <f t="shared" si="42"/>
        <v>3.5777126099706744</v>
      </c>
      <c r="Q87">
        <v>802</v>
      </c>
      <c r="R87">
        <v>61</v>
      </c>
      <c r="S87">
        <v>637</v>
      </c>
      <c r="T87" s="1">
        <f t="shared" si="43"/>
        <v>698</v>
      </c>
      <c r="U87" s="3">
        <f t="shared" si="44"/>
        <v>8.7392550143266483</v>
      </c>
      <c r="V87">
        <v>9</v>
      </c>
      <c r="W87" s="3">
        <f t="shared" si="45"/>
        <v>1.2893982808022924</v>
      </c>
      <c r="X87">
        <v>689</v>
      </c>
      <c r="Y87">
        <v>0</v>
      </c>
      <c r="Z87">
        <v>0</v>
      </c>
      <c r="AA87">
        <v>187</v>
      </c>
      <c r="AB87" s="3">
        <f t="shared" si="46"/>
        <v>26.790830945558739</v>
      </c>
      <c r="AC87">
        <v>10</v>
      </c>
      <c r="AD87" s="3">
        <f t="shared" si="47"/>
        <v>1.4326647564469914</v>
      </c>
      <c r="AE87">
        <v>62</v>
      </c>
      <c r="AF87" s="3">
        <f t="shared" si="48"/>
        <v>8.8825214899713458</v>
      </c>
      <c r="AG87">
        <v>54</v>
      </c>
      <c r="AH87" s="3">
        <f t="shared" si="49"/>
        <v>7.7363896848137532</v>
      </c>
      <c r="AI87">
        <v>202</v>
      </c>
      <c r="AJ87" s="3">
        <f t="shared" si="50"/>
        <v>28.939828080229226</v>
      </c>
      <c r="AK87">
        <v>63</v>
      </c>
      <c r="AL87" s="3">
        <f t="shared" si="51"/>
        <v>9.0257879656160451</v>
      </c>
      <c r="AM87">
        <v>15</v>
      </c>
      <c r="AN87" s="3">
        <f t="shared" si="52"/>
        <v>2.1489971346704873</v>
      </c>
      <c r="AO87">
        <v>4</v>
      </c>
      <c r="AP87" s="3">
        <f t="shared" si="53"/>
        <v>0.57306590257879653</v>
      </c>
      <c r="AQ87">
        <v>12</v>
      </c>
      <c r="AR87" s="3">
        <f t="shared" si="54"/>
        <v>1.7191977077363896</v>
      </c>
      <c r="AS87">
        <v>27</v>
      </c>
      <c r="AT87" s="3">
        <f t="shared" si="55"/>
        <v>3.8681948424068766</v>
      </c>
      <c r="AU87">
        <v>0</v>
      </c>
      <c r="AV87" s="3">
        <f t="shared" si="56"/>
        <v>0</v>
      </c>
      <c r="AW87">
        <v>8</v>
      </c>
      <c r="AX87" s="3">
        <f t="shared" si="57"/>
        <v>1.1461318051575931</v>
      </c>
      <c r="AY87">
        <v>13</v>
      </c>
      <c r="AZ87" s="3">
        <f t="shared" si="58"/>
        <v>1.8624641833810889</v>
      </c>
      <c r="BA87">
        <v>32</v>
      </c>
      <c r="BB87" s="3">
        <f t="shared" si="59"/>
        <v>4.5845272206303722</v>
      </c>
      <c r="BC87" t="s">
        <v>314</v>
      </c>
      <c r="BD87" s="72">
        <v>2017</v>
      </c>
      <c r="BE87" s="1"/>
      <c r="BF87"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7.8811188811189083</v>
      </c>
      <c r="BG87" s="10">
        <f>2*(Дума_партии[[#This Row],[5. Всероссийская политическая партия "ЕДИНАЯ РОССИЯ"]]-(AB$203/100)*Дума_партии[[#This Row],[Число действительных избирательных бюллетеней]])</f>
        <v>11.270000000000039</v>
      </c>
      <c r="BH87" s="10">
        <f>(Дума_партии[[#This Row],[Вброс]]+Дума_партии[[#This Row],[Перекладывание]])/2</f>
        <v>9.5755594405594735</v>
      </c>
    </row>
    <row r="88" spans="1:60" x14ac:dyDescent="0.4">
      <c r="A88" t="s">
        <v>49</v>
      </c>
      <c r="B88" t="s">
        <v>50</v>
      </c>
      <c r="C88" t="s">
        <v>51</v>
      </c>
      <c r="D88" t="s">
        <v>138</v>
      </c>
      <c r="E88" t="s">
        <v>216</v>
      </c>
      <c r="F88" s="8">
        <f t="shared" ca="1" si="40"/>
        <v>3977</v>
      </c>
      <c r="G88" t="s">
        <v>341</v>
      </c>
      <c r="H88" s="1" t="str">
        <f>LEFT(Дума_партии[[#This Row],[tik]],4)&amp;"."&amp;IF(ISNUMBER(VALUE(RIGHT(Дума_партии[[#This Row],[tik]]))),RIGHT(Дума_партии[[#This Row],[tik]]),"")</f>
        <v>Один.</v>
      </c>
      <c r="I88">
        <v>1529</v>
      </c>
      <c r="J88" s="8">
        <f>Дума_партии[[#This Row],[Число избирателей, внесенных в список избирателей на момент окончания голосования]]</f>
        <v>1529</v>
      </c>
      <c r="K88">
        <v>1300</v>
      </c>
      <c r="L88">
        <v>0</v>
      </c>
      <c r="M88">
        <v>575</v>
      </c>
      <c r="N88">
        <v>136</v>
      </c>
      <c r="O88" s="3">
        <f t="shared" si="41"/>
        <v>46.500981033355131</v>
      </c>
      <c r="P88" s="3">
        <f t="shared" si="42"/>
        <v>8.8947024198822753</v>
      </c>
      <c r="Q88">
        <v>589</v>
      </c>
      <c r="R88">
        <v>136</v>
      </c>
      <c r="S88">
        <v>575</v>
      </c>
      <c r="T88" s="1">
        <f t="shared" si="43"/>
        <v>711</v>
      </c>
      <c r="U88" s="3">
        <f t="shared" si="44"/>
        <v>19.127988748241911</v>
      </c>
      <c r="V88">
        <v>28</v>
      </c>
      <c r="W88" s="3">
        <f t="shared" si="45"/>
        <v>3.938115330520394</v>
      </c>
      <c r="X88">
        <v>683</v>
      </c>
      <c r="Y88">
        <v>0</v>
      </c>
      <c r="Z88">
        <v>0</v>
      </c>
      <c r="AA88">
        <v>135</v>
      </c>
      <c r="AB88" s="3">
        <f t="shared" si="46"/>
        <v>18.9873417721519</v>
      </c>
      <c r="AC88">
        <v>11</v>
      </c>
      <c r="AD88" s="3">
        <f t="shared" si="47"/>
        <v>1.5471167369901546</v>
      </c>
      <c r="AE88">
        <v>74</v>
      </c>
      <c r="AF88" s="3">
        <f t="shared" si="48"/>
        <v>10.40787623066104</v>
      </c>
      <c r="AG88">
        <v>54</v>
      </c>
      <c r="AH88" s="3">
        <f t="shared" si="49"/>
        <v>7.5949367088607591</v>
      </c>
      <c r="AI88">
        <v>247</v>
      </c>
      <c r="AJ88" s="3">
        <f t="shared" si="50"/>
        <v>34.739803094233473</v>
      </c>
      <c r="AK88">
        <v>62</v>
      </c>
      <c r="AL88" s="3">
        <f t="shared" si="51"/>
        <v>8.7201125175808727</v>
      </c>
      <c r="AM88">
        <v>11</v>
      </c>
      <c r="AN88" s="3">
        <f t="shared" si="52"/>
        <v>1.5471167369901546</v>
      </c>
      <c r="AO88">
        <v>4</v>
      </c>
      <c r="AP88" s="3">
        <f t="shared" si="53"/>
        <v>0.56258790436005623</v>
      </c>
      <c r="AQ88">
        <v>7</v>
      </c>
      <c r="AR88" s="3">
        <f t="shared" si="54"/>
        <v>0.98452883263009849</v>
      </c>
      <c r="AS88">
        <v>23</v>
      </c>
      <c r="AT88" s="3">
        <f t="shared" si="55"/>
        <v>3.2348804500703237</v>
      </c>
      <c r="AU88">
        <v>1</v>
      </c>
      <c r="AV88" s="3">
        <f t="shared" si="56"/>
        <v>0.14064697609001406</v>
      </c>
      <c r="AW88">
        <v>12</v>
      </c>
      <c r="AX88" s="3">
        <f t="shared" si="57"/>
        <v>1.6877637130801688</v>
      </c>
      <c r="AY88">
        <v>13</v>
      </c>
      <c r="AZ88" s="3">
        <f t="shared" si="58"/>
        <v>1.8284106891701828</v>
      </c>
      <c r="BA88">
        <v>29</v>
      </c>
      <c r="BB88" s="3">
        <f t="shared" si="59"/>
        <v>4.0787623066104075</v>
      </c>
      <c r="BC88" t="s">
        <v>314</v>
      </c>
      <c r="BD88" s="72">
        <v>2017</v>
      </c>
      <c r="BE88" s="1"/>
      <c r="BF88"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73.209790209790242</v>
      </c>
      <c r="BG88" s="10">
        <f>2*(Дума_партии[[#This Row],[5. Всероссийская политическая партия "ЕДИНАЯ РОССИЯ"]]-(AB$203/100)*Дума_партии[[#This Row],[Число действительных избирательных бюллетеней]])</f>
        <v>104.69000000000005</v>
      </c>
      <c r="BH88" s="10">
        <f>(Дума_партии[[#This Row],[Вброс]]+Дума_партии[[#This Row],[Перекладывание]])/2</f>
        <v>88.949895104895148</v>
      </c>
    </row>
    <row r="89" spans="1:60" x14ac:dyDescent="0.4">
      <c r="A89" t="s">
        <v>49</v>
      </c>
      <c r="B89" t="s">
        <v>50</v>
      </c>
      <c r="C89" t="s">
        <v>51</v>
      </c>
      <c r="D89" t="s">
        <v>138</v>
      </c>
      <c r="E89" t="s">
        <v>217</v>
      </c>
      <c r="F89" s="8">
        <f t="shared" ca="1" si="40"/>
        <v>3979</v>
      </c>
      <c r="G89" t="s">
        <v>342</v>
      </c>
      <c r="H89" s="1" t="str">
        <f>LEFT(Дума_партии[[#This Row],[tik]],4)&amp;"."&amp;IF(ISNUMBER(VALUE(RIGHT(Дума_партии[[#This Row],[tik]]))),RIGHT(Дума_партии[[#This Row],[tik]]),"")</f>
        <v>Один.</v>
      </c>
      <c r="I89">
        <v>1800</v>
      </c>
      <c r="J89" s="8">
        <f>Дума_партии[[#This Row],[Число избирателей, внесенных в список избирателей на момент окончания голосования]]</f>
        <v>1800</v>
      </c>
      <c r="K89">
        <v>1500</v>
      </c>
      <c r="L89">
        <v>0</v>
      </c>
      <c r="M89">
        <v>585</v>
      </c>
      <c r="N89">
        <v>53</v>
      </c>
      <c r="O89" s="3">
        <f t="shared" si="41"/>
        <v>35.444444444444443</v>
      </c>
      <c r="P89" s="3">
        <f t="shared" si="42"/>
        <v>2.9444444444444446</v>
      </c>
      <c r="Q89">
        <v>862</v>
      </c>
      <c r="R89">
        <v>53</v>
      </c>
      <c r="S89">
        <v>585</v>
      </c>
      <c r="T89" s="1">
        <f t="shared" si="43"/>
        <v>638</v>
      </c>
      <c r="U89" s="3">
        <f t="shared" si="44"/>
        <v>8.307210031347962</v>
      </c>
      <c r="V89">
        <v>18</v>
      </c>
      <c r="W89" s="3">
        <f t="shared" si="45"/>
        <v>2.8213166144200628</v>
      </c>
      <c r="X89">
        <v>620</v>
      </c>
      <c r="Y89">
        <v>0</v>
      </c>
      <c r="Z89">
        <v>0</v>
      </c>
      <c r="AA89">
        <v>149</v>
      </c>
      <c r="AB89" s="3">
        <f t="shared" si="46"/>
        <v>23.354231974921632</v>
      </c>
      <c r="AC89">
        <v>11</v>
      </c>
      <c r="AD89" s="3">
        <f t="shared" si="47"/>
        <v>1.7241379310344827</v>
      </c>
      <c r="AE89">
        <v>41</v>
      </c>
      <c r="AF89" s="3">
        <f t="shared" si="48"/>
        <v>6.4263322884012535</v>
      </c>
      <c r="AG89">
        <v>45</v>
      </c>
      <c r="AH89" s="3">
        <f t="shared" si="49"/>
        <v>7.0532915360501569</v>
      </c>
      <c r="AI89">
        <v>230</v>
      </c>
      <c r="AJ89" s="3">
        <f t="shared" si="50"/>
        <v>36.050156739811911</v>
      </c>
      <c r="AK89">
        <v>53</v>
      </c>
      <c r="AL89" s="3">
        <f t="shared" si="51"/>
        <v>8.307210031347962</v>
      </c>
      <c r="AM89">
        <v>11</v>
      </c>
      <c r="AN89" s="3">
        <f t="shared" si="52"/>
        <v>1.7241379310344827</v>
      </c>
      <c r="AO89">
        <v>3</v>
      </c>
      <c r="AP89" s="3">
        <f t="shared" si="53"/>
        <v>0.47021943573667713</v>
      </c>
      <c r="AQ89">
        <v>9</v>
      </c>
      <c r="AR89" s="3">
        <f t="shared" si="54"/>
        <v>1.4106583072100314</v>
      </c>
      <c r="AS89">
        <v>29</v>
      </c>
      <c r="AT89" s="3">
        <f t="shared" si="55"/>
        <v>4.5454545454545459</v>
      </c>
      <c r="AU89">
        <v>1</v>
      </c>
      <c r="AV89" s="3">
        <f t="shared" si="56"/>
        <v>0.15673981191222572</v>
      </c>
      <c r="AW89">
        <v>6</v>
      </c>
      <c r="AX89" s="3">
        <f t="shared" si="57"/>
        <v>0.94043887147335425</v>
      </c>
      <c r="AY89">
        <v>5</v>
      </c>
      <c r="AZ89" s="3">
        <f t="shared" si="58"/>
        <v>0.78369905956112851</v>
      </c>
      <c r="BA89">
        <v>27</v>
      </c>
      <c r="BB89" s="3">
        <f t="shared" si="59"/>
        <v>4.2319749216300941</v>
      </c>
      <c r="BC89" t="s">
        <v>314</v>
      </c>
      <c r="BD89" s="72">
        <v>2017</v>
      </c>
      <c r="BE89" s="1"/>
      <c r="BF89"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74.545454545454561</v>
      </c>
      <c r="BG89" s="10">
        <f>2*(Дума_партии[[#This Row],[5. Всероссийская политическая партия "ЕДИНАЯ РОССИЯ"]]-(AB$203/100)*Дума_партии[[#This Row],[Число действительных избирательных бюллетеней]])</f>
        <v>106.60000000000002</v>
      </c>
      <c r="BH89" s="10">
        <f>(Дума_партии[[#This Row],[Вброс]]+Дума_партии[[#This Row],[Перекладывание]])/2</f>
        <v>90.572727272727292</v>
      </c>
    </row>
    <row r="90" spans="1:60" x14ac:dyDescent="0.4">
      <c r="A90" t="s">
        <v>49</v>
      </c>
      <c r="B90" t="s">
        <v>50</v>
      </c>
      <c r="C90" t="s">
        <v>51</v>
      </c>
      <c r="D90" t="s">
        <v>138</v>
      </c>
      <c r="E90" t="s">
        <v>218</v>
      </c>
      <c r="F90" s="8">
        <f t="shared" ca="1" si="40"/>
        <v>3981</v>
      </c>
      <c r="G90" t="s">
        <v>343</v>
      </c>
      <c r="H90" s="1" t="str">
        <f>LEFT(Дума_партии[[#This Row],[tik]],4)&amp;"."&amp;IF(ISNUMBER(VALUE(RIGHT(Дума_партии[[#This Row],[tik]]))),RIGHT(Дума_партии[[#This Row],[tik]]),"")</f>
        <v>Один.</v>
      </c>
      <c r="I90">
        <v>1926</v>
      </c>
      <c r="J90" s="8">
        <f>Дума_партии[[#This Row],[Число избирателей, внесенных в список избирателей на момент окончания голосования]]</f>
        <v>1926</v>
      </c>
      <c r="K90">
        <v>1500</v>
      </c>
      <c r="L90">
        <v>0</v>
      </c>
      <c r="M90">
        <v>687</v>
      </c>
      <c r="N90">
        <v>48</v>
      </c>
      <c r="O90" s="3">
        <f t="shared" si="41"/>
        <v>38.161993769470406</v>
      </c>
      <c r="P90" s="3">
        <f t="shared" si="42"/>
        <v>2.4922118380062304</v>
      </c>
      <c r="Q90">
        <v>765</v>
      </c>
      <c r="R90">
        <v>48</v>
      </c>
      <c r="S90">
        <v>639</v>
      </c>
      <c r="T90" s="1">
        <f t="shared" si="43"/>
        <v>687</v>
      </c>
      <c r="U90" s="3">
        <f t="shared" si="44"/>
        <v>6.9868995633187776</v>
      </c>
      <c r="V90">
        <v>17</v>
      </c>
      <c r="W90" s="3">
        <f t="shared" si="45"/>
        <v>2.4745269286754001</v>
      </c>
      <c r="X90">
        <v>670</v>
      </c>
      <c r="Y90">
        <v>0</v>
      </c>
      <c r="Z90">
        <v>0</v>
      </c>
      <c r="AA90">
        <v>207</v>
      </c>
      <c r="AB90" s="3">
        <f t="shared" si="46"/>
        <v>30.131004366812228</v>
      </c>
      <c r="AC90">
        <v>14</v>
      </c>
      <c r="AD90" s="3">
        <f t="shared" si="47"/>
        <v>2.0378457059679769</v>
      </c>
      <c r="AE90">
        <v>50</v>
      </c>
      <c r="AF90" s="3">
        <f t="shared" si="48"/>
        <v>7.2780203784570601</v>
      </c>
      <c r="AG90">
        <v>47</v>
      </c>
      <c r="AH90" s="3">
        <f t="shared" si="49"/>
        <v>6.8413391557496359</v>
      </c>
      <c r="AI90">
        <v>219</v>
      </c>
      <c r="AJ90" s="3">
        <f t="shared" si="50"/>
        <v>31.877729257641921</v>
      </c>
      <c r="AK90">
        <v>50</v>
      </c>
      <c r="AL90" s="3">
        <f t="shared" si="51"/>
        <v>7.2780203784570601</v>
      </c>
      <c r="AM90">
        <v>17</v>
      </c>
      <c r="AN90" s="3">
        <f t="shared" si="52"/>
        <v>2.4745269286754001</v>
      </c>
      <c r="AO90">
        <v>4</v>
      </c>
      <c r="AP90" s="3">
        <f t="shared" si="53"/>
        <v>0.58224163027656473</v>
      </c>
      <c r="AQ90">
        <v>9</v>
      </c>
      <c r="AR90" s="3">
        <f t="shared" si="54"/>
        <v>1.3100436681222707</v>
      </c>
      <c r="AS90">
        <v>15</v>
      </c>
      <c r="AT90" s="3">
        <f t="shared" si="55"/>
        <v>2.1834061135371181</v>
      </c>
      <c r="AU90">
        <v>3</v>
      </c>
      <c r="AV90" s="3">
        <f t="shared" si="56"/>
        <v>0.4366812227074236</v>
      </c>
      <c r="AW90">
        <v>8</v>
      </c>
      <c r="AX90" s="3">
        <f t="shared" si="57"/>
        <v>1.1644832605531295</v>
      </c>
      <c r="AY90">
        <v>9</v>
      </c>
      <c r="AZ90" s="3">
        <f t="shared" si="58"/>
        <v>1.3100436681222707</v>
      </c>
      <c r="BA90">
        <v>18</v>
      </c>
      <c r="BB90" s="3">
        <f t="shared" si="59"/>
        <v>2.6200873362445414</v>
      </c>
      <c r="BC90" t="s">
        <v>314</v>
      </c>
      <c r="BD90" s="72">
        <v>2017</v>
      </c>
      <c r="BE90" s="1"/>
      <c r="BF90"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39.230769230769255</v>
      </c>
      <c r="BG90" s="10">
        <f>2*(Дума_партии[[#This Row],[5. Всероссийская политическая партия "ЕДИНАЯ РОССИЯ"]]-(AB$203/100)*Дума_партии[[#This Row],[Число действительных избирательных бюллетеней]])</f>
        <v>56.100000000000023</v>
      </c>
      <c r="BH90" s="10">
        <f>(Дума_партии[[#This Row],[Вброс]]+Дума_партии[[#This Row],[Перекладывание]])/2</f>
        <v>47.665384615384639</v>
      </c>
    </row>
    <row r="91" spans="1:60" x14ac:dyDescent="0.4">
      <c r="A91" t="s">
        <v>49</v>
      </c>
      <c r="B91" t="s">
        <v>50</v>
      </c>
      <c r="C91" t="s">
        <v>51</v>
      </c>
      <c r="D91" t="s">
        <v>138</v>
      </c>
      <c r="E91" t="s">
        <v>219</v>
      </c>
      <c r="F91" s="8">
        <f t="shared" ca="1" si="40"/>
        <v>3983</v>
      </c>
      <c r="G91" t="s">
        <v>343</v>
      </c>
      <c r="H91" s="1" t="str">
        <f>LEFT(Дума_партии[[#This Row],[tik]],4)&amp;"."&amp;IF(ISNUMBER(VALUE(RIGHT(Дума_партии[[#This Row],[tik]]))),RIGHT(Дума_партии[[#This Row],[tik]]),"")</f>
        <v>Один.</v>
      </c>
      <c r="I91">
        <v>1969</v>
      </c>
      <c r="J91" s="8">
        <f>Дума_партии[[#This Row],[Число избирателей, внесенных в список избирателей на момент окончания голосования]]</f>
        <v>1969</v>
      </c>
      <c r="K91">
        <v>1500</v>
      </c>
      <c r="L91">
        <v>0</v>
      </c>
      <c r="M91">
        <v>661</v>
      </c>
      <c r="N91">
        <v>203</v>
      </c>
      <c r="O91" s="3">
        <f t="shared" si="41"/>
        <v>43.880142204164549</v>
      </c>
      <c r="P91" s="3">
        <f t="shared" si="42"/>
        <v>10.309801929913661</v>
      </c>
      <c r="Q91">
        <v>636</v>
      </c>
      <c r="R91">
        <v>203</v>
      </c>
      <c r="S91">
        <v>661</v>
      </c>
      <c r="T91" s="1">
        <f t="shared" si="43"/>
        <v>864</v>
      </c>
      <c r="U91" s="3">
        <f t="shared" si="44"/>
        <v>23.49537037037037</v>
      </c>
      <c r="V91">
        <v>19</v>
      </c>
      <c r="W91" s="3">
        <f t="shared" si="45"/>
        <v>2.199074074074074</v>
      </c>
      <c r="X91">
        <v>845</v>
      </c>
      <c r="Y91">
        <v>0</v>
      </c>
      <c r="Z91">
        <v>0</v>
      </c>
      <c r="AA91">
        <v>178</v>
      </c>
      <c r="AB91" s="3">
        <f t="shared" si="46"/>
        <v>20.601851851851851</v>
      </c>
      <c r="AC91">
        <v>9</v>
      </c>
      <c r="AD91" s="3">
        <f t="shared" si="47"/>
        <v>1.0416666666666667</v>
      </c>
      <c r="AE91">
        <v>54</v>
      </c>
      <c r="AF91" s="3">
        <f t="shared" si="48"/>
        <v>6.25</v>
      </c>
      <c r="AG91">
        <v>47</v>
      </c>
      <c r="AH91" s="3">
        <f t="shared" si="49"/>
        <v>5.4398148148148149</v>
      </c>
      <c r="AI91">
        <v>405</v>
      </c>
      <c r="AJ91" s="3">
        <f t="shared" si="50"/>
        <v>46.875</v>
      </c>
      <c r="AK91">
        <v>65</v>
      </c>
      <c r="AL91" s="3">
        <f t="shared" si="51"/>
        <v>7.5231481481481479</v>
      </c>
      <c r="AM91">
        <v>14</v>
      </c>
      <c r="AN91" s="3">
        <f t="shared" si="52"/>
        <v>1.6203703703703705</v>
      </c>
      <c r="AO91">
        <v>2</v>
      </c>
      <c r="AP91" s="3">
        <f t="shared" si="53"/>
        <v>0.23148148148148148</v>
      </c>
      <c r="AQ91">
        <v>13</v>
      </c>
      <c r="AR91" s="3">
        <f t="shared" si="54"/>
        <v>1.5046296296296295</v>
      </c>
      <c r="AS91">
        <v>18</v>
      </c>
      <c r="AT91" s="3">
        <f t="shared" si="55"/>
        <v>2.0833333333333335</v>
      </c>
      <c r="AU91">
        <v>1</v>
      </c>
      <c r="AV91" s="3">
        <f t="shared" si="56"/>
        <v>0.11574074074074074</v>
      </c>
      <c r="AW91">
        <v>7</v>
      </c>
      <c r="AX91" s="3">
        <f t="shared" si="57"/>
        <v>0.81018518518518523</v>
      </c>
      <c r="AY91">
        <v>9</v>
      </c>
      <c r="AZ91" s="3">
        <f t="shared" si="58"/>
        <v>1.0416666666666667</v>
      </c>
      <c r="BA91">
        <v>23</v>
      </c>
      <c r="BB91" s="3">
        <f t="shared" si="59"/>
        <v>2.6620370370370372</v>
      </c>
      <c r="BC91" t="s">
        <v>314</v>
      </c>
      <c r="BD91" s="72">
        <v>2017</v>
      </c>
      <c r="BE91" s="1"/>
      <c r="BF91"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229.61538461538464</v>
      </c>
      <c r="BG91" s="10">
        <f>2*(Дума_партии[[#This Row],[5. Всероссийская политическая партия "ЕДИНАЯ РОССИЯ"]]-(AB$203/100)*Дума_партии[[#This Row],[Число действительных избирательных бюллетеней]])</f>
        <v>328.35</v>
      </c>
      <c r="BH91" s="10">
        <f>(Дума_партии[[#This Row],[Вброс]]+Дума_партии[[#This Row],[Перекладывание]])/2</f>
        <v>278.98269230769233</v>
      </c>
    </row>
    <row r="92" spans="1:60" x14ac:dyDescent="0.4">
      <c r="A92" t="s">
        <v>49</v>
      </c>
      <c r="B92" t="s">
        <v>50</v>
      </c>
      <c r="C92" t="s">
        <v>51</v>
      </c>
      <c r="D92" t="s">
        <v>138</v>
      </c>
      <c r="E92" t="s">
        <v>220</v>
      </c>
      <c r="F92" s="8">
        <f t="shared" ca="1" si="40"/>
        <v>3984</v>
      </c>
      <c r="G92" t="s">
        <v>343</v>
      </c>
      <c r="H92" s="1" t="str">
        <f>LEFT(Дума_партии[[#This Row],[tik]],4)&amp;"."&amp;IF(ISNUMBER(VALUE(RIGHT(Дума_партии[[#This Row],[tik]]))),RIGHT(Дума_партии[[#This Row],[tik]]),"")</f>
        <v>Один.</v>
      </c>
      <c r="I92">
        <v>1911</v>
      </c>
      <c r="J92" s="8">
        <f>Дума_партии[[#This Row],[Число избирателей, внесенных в список избирателей на момент окончания голосования]]</f>
        <v>1911</v>
      </c>
      <c r="K92">
        <v>1500</v>
      </c>
      <c r="L92">
        <v>0</v>
      </c>
      <c r="M92">
        <v>771</v>
      </c>
      <c r="N92">
        <v>177</v>
      </c>
      <c r="O92" s="3">
        <f t="shared" si="41"/>
        <v>49.60753532182104</v>
      </c>
      <c r="P92" s="3">
        <f t="shared" si="42"/>
        <v>9.2621664050235477</v>
      </c>
      <c r="Q92">
        <v>552</v>
      </c>
      <c r="R92">
        <v>177</v>
      </c>
      <c r="S92">
        <v>771</v>
      </c>
      <c r="T92" s="1">
        <f t="shared" si="43"/>
        <v>948</v>
      </c>
      <c r="U92" s="3">
        <f t="shared" si="44"/>
        <v>18.670886075949365</v>
      </c>
      <c r="V92">
        <v>18</v>
      </c>
      <c r="W92" s="3">
        <f t="shared" si="45"/>
        <v>1.8987341772151898</v>
      </c>
      <c r="X92">
        <v>930</v>
      </c>
      <c r="Y92">
        <v>0</v>
      </c>
      <c r="Z92">
        <v>0</v>
      </c>
      <c r="AA92">
        <v>192</v>
      </c>
      <c r="AB92" s="3">
        <f t="shared" si="46"/>
        <v>20.253164556962027</v>
      </c>
      <c r="AC92">
        <v>16</v>
      </c>
      <c r="AD92" s="3">
        <f t="shared" si="47"/>
        <v>1.6877637130801688</v>
      </c>
      <c r="AE92">
        <v>49</v>
      </c>
      <c r="AF92" s="3">
        <f t="shared" si="48"/>
        <v>5.1687763713080166</v>
      </c>
      <c r="AG92">
        <v>56</v>
      </c>
      <c r="AH92" s="3">
        <f t="shared" si="49"/>
        <v>5.9071729957805905</v>
      </c>
      <c r="AI92">
        <v>464</v>
      </c>
      <c r="AJ92" s="3">
        <f t="shared" si="50"/>
        <v>48.945147679324897</v>
      </c>
      <c r="AK92">
        <v>60</v>
      </c>
      <c r="AL92" s="3">
        <f t="shared" si="51"/>
        <v>6.3291139240506329</v>
      </c>
      <c r="AM92">
        <v>10</v>
      </c>
      <c r="AN92" s="3">
        <f t="shared" si="52"/>
        <v>1.0548523206751055</v>
      </c>
      <c r="AO92">
        <v>6</v>
      </c>
      <c r="AP92" s="3">
        <f t="shared" si="53"/>
        <v>0.63291139240506333</v>
      </c>
      <c r="AQ92">
        <v>11</v>
      </c>
      <c r="AR92" s="3">
        <f t="shared" si="54"/>
        <v>1.1603375527426161</v>
      </c>
      <c r="AS92">
        <v>14</v>
      </c>
      <c r="AT92" s="3">
        <f t="shared" si="55"/>
        <v>1.4767932489451476</v>
      </c>
      <c r="AU92">
        <v>1</v>
      </c>
      <c r="AV92" s="3">
        <f t="shared" si="56"/>
        <v>0.10548523206751055</v>
      </c>
      <c r="AW92">
        <v>4</v>
      </c>
      <c r="AX92" s="3">
        <f t="shared" si="57"/>
        <v>0.4219409282700422</v>
      </c>
      <c r="AY92">
        <v>9</v>
      </c>
      <c r="AZ92" s="3">
        <f t="shared" si="58"/>
        <v>0.94936708860759489</v>
      </c>
      <c r="BA92">
        <v>38</v>
      </c>
      <c r="BB92" s="3">
        <f t="shared" si="59"/>
        <v>4.0084388185654012</v>
      </c>
      <c r="BC92" t="s">
        <v>314</v>
      </c>
      <c r="BD92" t="s">
        <v>455</v>
      </c>
      <c r="BE92" s="1"/>
      <c r="BF92"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278.25174825174827</v>
      </c>
      <c r="BG92" s="10">
        <f>2*(Дума_партии[[#This Row],[5. Всероссийская политическая партия "ЕДИНАЯ РОССИЯ"]]-(AB$203/100)*Дума_партии[[#This Row],[Число действительных избирательных бюллетеней]])</f>
        <v>397.90000000000009</v>
      </c>
      <c r="BH92" s="10">
        <f>(Дума_партии[[#This Row],[Вброс]]+Дума_партии[[#This Row],[Перекладывание]])/2</f>
        <v>338.07587412587418</v>
      </c>
    </row>
    <row r="93" spans="1:60" x14ac:dyDescent="0.4">
      <c r="A93" t="s">
        <v>49</v>
      </c>
      <c r="B93" t="s">
        <v>50</v>
      </c>
      <c r="C93" t="s">
        <v>51</v>
      </c>
      <c r="D93" t="s">
        <v>138</v>
      </c>
      <c r="E93" t="s">
        <v>221</v>
      </c>
      <c r="F93" s="8">
        <f t="shared" ca="1" si="40"/>
        <v>3985</v>
      </c>
      <c r="G93" t="s">
        <v>344</v>
      </c>
      <c r="H93" s="1" t="str">
        <f>LEFT(Дума_партии[[#This Row],[tik]],4)&amp;"."&amp;IF(ISNUMBER(VALUE(RIGHT(Дума_партии[[#This Row],[tik]]))),RIGHT(Дума_партии[[#This Row],[tik]]),"")</f>
        <v>Один.</v>
      </c>
      <c r="I93">
        <v>1647</v>
      </c>
      <c r="J93" s="8">
        <f>Дума_партии[[#This Row],[Число избирателей, внесенных в список избирателей на момент окончания голосования]]</f>
        <v>1647</v>
      </c>
      <c r="K93">
        <v>1300</v>
      </c>
      <c r="L93">
        <v>0</v>
      </c>
      <c r="M93">
        <v>643</v>
      </c>
      <c r="N93">
        <v>213</v>
      </c>
      <c r="O93" s="3">
        <f t="shared" si="41"/>
        <v>51.973284760170003</v>
      </c>
      <c r="P93" s="3">
        <f t="shared" si="42"/>
        <v>12.932604735883425</v>
      </c>
      <c r="Q93">
        <v>444</v>
      </c>
      <c r="R93">
        <v>213</v>
      </c>
      <c r="S93">
        <v>643</v>
      </c>
      <c r="T93" s="1">
        <f t="shared" si="43"/>
        <v>856</v>
      </c>
      <c r="U93" s="3">
        <f t="shared" si="44"/>
        <v>24.883177570093459</v>
      </c>
      <c r="V93">
        <v>43</v>
      </c>
      <c r="W93" s="3">
        <f t="shared" si="45"/>
        <v>5.0233644859813085</v>
      </c>
      <c r="X93">
        <v>813</v>
      </c>
      <c r="Y93">
        <v>0</v>
      </c>
      <c r="Z93">
        <v>0</v>
      </c>
      <c r="AA93">
        <v>154</v>
      </c>
      <c r="AB93" s="3">
        <f t="shared" si="46"/>
        <v>17.990654205607477</v>
      </c>
      <c r="AC93">
        <v>13</v>
      </c>
      <c r="AD93" s="3">
        <f t="shared" si="47"/>
        <v>1.5186915887850467</v>
      </c>
      <c r="AE93">
        <v>54</v>
      </c>
      <c r="AF93" s="3">
        <f t="shared" si="48"/>
        <v>6.3084112149532707</v>
      </c>
      <c r="AG93">
        <v>48</v>
      </c>
      <c r="AH93" s="3">
        <f t="shared" si="49"/>
        <v>5.6074766355140184</v>
      </c>
      <c r="AI93">
        <v>366</v>
      </c>
      <c r="AJ93" s="3">
        <f t="shared" si="50"/>
        <v>42.757009345794394</v>
      </c>
      <c r="AK93">
        <v>87</v>
      </c>
      <c r="AL93" s="3">
        <f t="shared" si="51"/>
        <v>10.163551401869158</v>
      </c>
      <c r="AM93">
        <v>15</v>
      </c>
      <c r="AN93" s="3">
        <f t="shared" si="52"/>
        <v>1.7523364485981308</v>
      </c>
      <c r="AO93">
        <v>8</v>
      </c>
      <c r="AP93" s="3">
        <f t="shared" si="53"/>
        <v>0.93457943925233644</v>
      </c>
      <c r="AQ93">
        <v>16</v>
      </c>
      <c r="AR93" s="3">
        <f t="shared" si="54"/>
        <v>1.8691588785046729</v>
      </c>
      <c r="AS93">
        <v>11</v>
      </c>
      <c r="AT93" s="3">
        <f t="shared" si="55"/>
        <v>1.2850467289719627</v>
      </c>
      <c r="AU93">
        <v>4</v>
      </c>
      <c r="AV93" s="3">
        <f t="shared" si="56"/>
        <v>0.46728971962616822</v>
      </c>
      <c r="AW93">
        <v>9</v>
      </c>
      <c r="AX93" s="3">
        <f t="shared" si="57"/>
        <v>1.0514018691588785</v>
      </c>
      <c r="AY93">
        <v>7</v>
      </c>
      <c r="AZ93" s="3">
        <f t="shared" si="58"/>
        <v>0.81775700934579443</v>
      </c>
      <c r="BA93">
        <v>21</v>
      </c>
      <c r="BB93" s="3">
        <f t="shared" si="59"/>
        <v>2.4532710280373831</v>
      </c>
      <c r="BC93" t="s">
        <v>314</v>
      </c>
      <c r="BD93" s="72">
        <v>2017</v>
      </c>
      <c r="BE93" s="1"/>
      <c r="BF93"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187.82517482517486</v>
      </c>
      <c r="BG93" s="10">
        <f>2*(Дума_партии[[#This Row],[5. Всероссийская политическая партия "ЕДИНАЯ РОССИЯ"]]-(AB$203/100)*Дума_партии[[#This Row],[Число действительных избирательных бюллетеней]])</f>
        <v>268.59000000000003</v>
      </c>
      <c r="BH93" s="10">
        <f>(Дума_партии[[#This Row],[Вброс]]+Дума_партии[[#This Row],[Перекладывание]])/2</f>
        <v>228.20758741258743</v>
      </c>
    </row>
    <row r="94" spans="1:60" x14ac:dyDescent="0.4">
      <c r="A94" t="s">
        <v>49</v>
      </c>
      <c r="B94" t="s">
        <v>50</v>
      </c>
      <c r="C94" t="s">
        <v>51</v>
      </c>
      <c r="D94" t="s">
        <v>138</v>
      </c>
      <c r="E94" t="s">
        <v>222</v>
      </c>
      <c r="F94" s="8">
        <f t="shared" ca="1" si="40"/>
        <v>3986</v>
      </c>
      <c r="G94" t="s">
        <v>345</v>
      </c>
      <c r="H94" s="1" t="str">
        <f>LEFT(Дума_партии[[#This Row],[tik]],4)&amp;"."&amp;IF(ISNUMBER(VALUE(RIGHT(Дума_партии[[#This Row],[tik]]))),RIGHT(Дума_партии[[#This Row],[tik]]),"")</f>
        <v>Один.</v>
      </c>
      <c r="I94">
        <v>1316</v>
      </c>
      <c r="J94" s="8">
        <f>Дума_партии[[#This Row],[Число избирателей, внесенных в список избирателей на момент окончания голосования]]</f>
        <v>1316</v>
      </c>
      <c r="K94">
        <v>1000</v>
      </c>
      <c r="L94">
        <v>0</v>
      </c>
      <c r="M94">
        <v>462</v>
      </c>
      <c r="N94">
        <v>277</v>
      </c>
      <c r="O94" s="3">
        <f t="shared" si="41"/>
        <v>56.155015197568389</v>
      </c>
      <c r="P94" s="3">
        <f t="shared" si="42"/>
        <v>21.048632218844986</v>
      </c>
      <c r="Q94">
        <v>261</v>
      </c>
      <c r="R94">
        <v>277</v>
      </c>
      <c r="S94">
        <v>462</v>
      </c>
      <c r="T94" s="1">
        <f t="shared" si="43"/>
        <v>739</v>
      </c>
      <c r="U94" s="3">
        <f t="shared" si="44"/>
        <v>37.483085250338299</v>
      </c>
      <c r="V94">
        <v>9</v>
      </c>
      <c r="W94" s="3">
        <f t="shared" si="45"/>
        <v>1.2178619756427604</v>
      </c>
      <c r="X94">
        <v>730</v>
      </c>
      <c r="Y94">
        <v>0</v>
      </c>
      <c r="Z94">
        <v>0</v>
      </c>
      <c r="AA94">
        <v>126</v>
      </c>
      <c r="AB94" s="3">
        <f t="shared" si="46"/>
        <v>17.050067658998646</v>
      </c>
      <c r="AC94">
        <v>7</v>
      </c>
      <c r="AD94" s="3">
        <f t="shared" si="47"/>
        <v>0.94722598105548039</v>
      </c>
      <c r="AE94">
        <v>36</v>
      </c>
      <c r="AF94" s="3">
        <f t="shared" si="48"/>
        <v>4.8714479025710418</v>
      </c>
      <c r="AG94">
        <v>45</v>
      </c>
      <c r="AH94" s="3">
        <f t="shared" si="49"/>
        <v>6.0893098782138022</v>
      </c>
      <c r="AI94">
        <v>401</v>
      </c>
      <c r="AJ94" s="3">
        <f t="shared" si="50"/>
        <v>54.262516914749661</v>
      </c>
      <c r="AK94">
        <v>50</v>
      </c>
      <c r="AL94" s="3">
        <f t="shared" si="51"/>
        <v>6.7658998646820026</v>
      </c>
      <c r="AM94">
        <v>12</v>
      </c>
      <c r="AN94" s="3">
        <f t="shared" si="52"/>
        <v>1.6238159675236807</v>
      </c>
      <c r="AO94">
        <v>5</v>
      </c>
      <c r="AP94" s="3">
        <f t="shared" si="53"/>
        <v>0.67658998646820023</v>
      </c>
      <c r="AQ94">
        <v>10</v>
      </c>
      <c r="AR94" s="3">
        <f t="shared" si="54"/>
        <v>1.3531799729364005</v>
      </c>
      <c r="AS94">
        <v>11</v>
      </c>
      <c r="AT94" s="3">
        <f t="shared" si="55"/>
        <v>1.4884979702300405</v>
      </c>
      <c r="AU94">
        <v>3</v>
      </c>
      <c r="AV94" s="3">
        <f t="shared" si="56"/>
        <v>0.40595399188092018</v>
      </c>
      <c r="AW94">
        <v>5</v>
      </c>
      <c r="AX94" s="3">
        <f t="shared" si="57"/>
        <v>0.67658998646820023</v>
      </c>
      <c r="AY94">
        <v>7</v>
      </c>
      <c r="AZ94" s="3">
        <f t="shared" si="58"/>
        <v>0.94722598105548039</v>
      </c>
      <c r="BA94">
        <v>12</v>
      </c>
      <c r="BB94" s="3">
        <f t="shared" si="59"/>
        <v>1.6238159675236807</v>
      </c>
      <c r="BC94" t="s">
        <v>314</v>
      </c>
      <c r="BD94" s="72">
        <v>2017</v>
      </c>
      <c r="BE94" s="1"/>
      <c r="BF94"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269.86013986013984</v>
      </c>
      <c r="BG94" s="10">
        <f>2*(Дума_партии[[#This Row],[5. Всероссийская политическая партия "ЕДИНАЯ РОССИЯ"]]-(AB$203/100)*Дума_партии[[#This Row],[Число действительных избирательных бюллетеней]])</f>
        <v>385.90000000000003</v>
      </c>
      <c r="BH94" s="10">
        <f>(Дума_партии[[#This Row],[Вброс]]+Дума_партии[[#This Row],[Перекладывание]])/2</f>
        <v>327.88006993006991</v>
      </c>
    </row>
    <row r="95" spans="1:60" s="17" customFormat="1" x14ac:dyDescent="0.4">
      <c r="A95" s="17" t="s">
        <v>49</v>
      </c>
      <c r="B95" s="17" t="s">
        <v>50</v>
      </c>
      <c r="C95" s="17" t="s">
        <v>51</v>
      </c>
      <c r="D95" s="17" t="s">
        <v>138</v>
      </c>
      <c r="E95" s="17" t="s">
        <v>223</v>
      </c>
      <c r="F95" s="24">
        <f t="shared" ca="1" si="40"/>
        <v>3987</v>
      </c>
      <c r="G95" s="17" t="s">
        <v>346</v>
      </c>
      <c r="H95" s="17" t="str">
        <f>LEFT(Дума_партии[[#This Row],[tik]],4)&amp;"."&amp;IF(ISNUMBER(VALUE(RIGHT(Дума_партии[[#This Row],[tik]]))),RIGHT(Дума_партии[[#This Row],[tik]]),"")</f>
        <v>Один.</v>
      </c>
      <c r="I95" s="17">
        <v>2401</v>
      </c>
      <c r="J95" s="24">
        <f>Дума_партии[[#This Row],[Число избирателей, внесенных в список избирателей на момент окончания голосования]]</f>
        <v>2401</v>
      </c>
      <c r="K95" s="17">
        <v>1900</v>
      </c>
      <c r="L95" s="17">
        <v>0</v>
      </c>
      <c r="M95" s="17">
        <v>1458</v>
      </c>
      <c r="N95" s="17">
        <v>78</v>
      </c>
      <c r="O95" s="25">
        <f t="shared" si="41"/>
        <v>63.973344439816742</v>
      </c>
      <c r="P95" s="25">
        <f t="shared" si="42"/>
        <v>3.2486463973344439</v>
      </c>
      <c r="Q95" s="17">
        <v>364</v>
      </c>
      <c r="R95" s="17">
        <v>78</v>
      </c>
      <c r="S95" s="17">
        <v>1458</v>
      </c>
      <c r="T95" s="17">
        <f t="shared" si="43"/>
        <v>1536</v>
      </c>
      <c r="U95" s="25">
        <f t="shared" si="44"/>
        <v>5.078125</v>
      </c>
      <c r="V95" s="17">
        <v>47</v>
      </c>
      <c r="W95" s="25">
        <f t="shared" si="45"/>
        <v>3.0598958333333335</v>
      </c>
      <c r="X95" s="17">
        <v>1489</v>
      </c>
      <c r="Y95" s="17">
        <v>0</v>
      </c>
      <c r="Z95" s="17">
        <v>0</v>
      </c>
      <c r="AA95" s="17">
        <v>207</v>
      </c>
      <c r="AB95" s="25">
        <f t="shared" si="46"/>
        <v>13.4765625</v>
      </c>
      <c r="AC95" s="17">
        <v>16</v>
      </c>
      <c r="AD95" s="25">
        <f t="shared" si="47"/>
        <v>1.0416666666666667</v>
      </c>
      <c r="AE95" s="17">
        <v>69</v>
      </c>
      <c r="AF95" s="25">
        <f t="shared" si="48"/>
        <v>4.4921875</v>
      </c>
      <c r="AG95" s="17">
        <v>59</v>
      </c>
      <c r="AH95" s="25">
        <f t="shared" si="49"/>
        <v>3.8411458333333335</v>
      </c>
      <c r="AI95" s="17">
        <v>1025</v>
      </c>
      <c r="AJ95" s="25">
        <f t="shared" si="50"/>
        <v>66.731770833333329</v>
      </c>
      <c r="AK95" s="17">
        <v>36</v>
      </c>
      <c r="AL95" s="25">
        <f t="shared" si="51"/>
        <v>2.34375</v>
      </c>
      <c r="AM95" s="17">
        <v>9</v>
      </c>
      <c r="AN95" s="25">
        <f t="shared" si="52"/>
        <v>0.5859375</v>
      </c>
      <c r="AO95" s="17">
        <v>1</v>
      </c>
      <c r="AP95" s="25">
        <f t="shared" si="53"/>
        <v>6.5104166666666671E-2</v>
      </c>
      <c r="AQ95" s="17">
        <v>4</v>
      </c>
      <c r="AR95" s="25">
        <f t="shared" si="54"/>
        <v>0.26041666666666669</v>
      </c>
      <c r="AS95" s="17">
        <v>20</v>
      </c>
      <c r="AT95" s="25">
        <f t="shared" si="55"/>
        <v>1.3020833333333333</v>
      </c>
      <c r="AU95" s="17">
        <v>0</v>
      </c>
      <c r="AV95" s="25">
        <f t="shared" si="56"/>
        <v>0</v>
      </c>
      <c r="AW95" s="17">
        <v>7</v>
      </c>
      <c r="AX95" s="25">
        <f t="shared" si="57"/>
        <v>0.45572916666666669</v>
      </c>
      <c r="AY95" s="17">
        <v>4</v>
      </c>
      <c r="AZ95" s="25">
        <f t="shared" si="58"/>
        <v>0.26041666666666669</v>
      </c>
      <c r="BA95" s="17">
        <v>32</v>
      </c>
      <c r="BB95" s="25">
        <f t="shared" si="59"/>
        <v>2.0833333333333335</v>
      </c>
      <c r="BC95" s="17" t="s">
        <v>314</v>
      </c>
      <c r="BD95" s="17" t="s">
        <v>455</v>
      </c>
      <c r="BF95" s="26">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840.04895104895104</v>
      </c>
      <c r="BG95" s="26">
        <f>2*(Дума_партии[[#This Row],[5. Всероссийская политическая партия "ЕДИНАЯ РОССИЯ"]]-(AB$203/100)*Дума_партии[[#This Row],[Число действительных избирательных бюллетеней]])</f>
        <v>1201.27</v>
      </c>
      <c r="BH95" s="26">
        <f>(Дума_партии[[#This Row],[Вброс]]+Дума_партии[[#This Row],[Перекладывание]])/2</f>
        <v>1020.6594755244755</v>
      </c>
    </row>
    <row r="96" spans="1:60" s="17" customFormat="1" x14ac:dyDescent="0.4">
      <c r="A96" s="17" t="s">
        <v>49</v>
      </c>
      <c r="B96" s="17" t="s">
        <v>50</v>
      </c>
      <c r="C96" s="17" t="s">
        <v>51</v>
      </c>
      <c r="D96" s="17" t="s">
        <v>138</v>
      </c>
      <c r="E96" s="17" t="s">
        <v>224</v>
      </c>
      <c r="F96" s="24">
        <f t="shared" ca="1" si="40"/>
        <v>3989</v>
      </c>
      <c r="G96" s="17" t="s">
        <v>347</v>
      </c>
      <c r="H96" s="17" t="str">
        <f>LEFT(Дума_партии[[#This Row],[tik]],4)&amp;"."&amp;IF(ISNUMBER(VALUE(RIGHT(Дума_партии[[#This Row],[tik]]))),RIGHT(Дума_партии[[#This Row],[tik]]),"")</f>
        <v>Один.</v>
      </c>
      <c r="I96" s="17">
        <v>2141</v>
      </c>
      <c r="J96" s="24">
        <f>Дума_партии[[#This Row],[Число избирателей, внесенных в список избирателей на момент окончания голосования]]</f>
        <v>2141</v>
      </c>
      <c r="K96" s="17">
        <v>1700</v>
      </c>
      <c r="L96" s="17">
        <v>0</v>
      </c>
      <c r="M96" s="17">
        <v>1383</v>
      </c>
      <c r="N96" s="17">
        <v>32</v>
      </c>
      <c r="O96" s="25">
        <f t="shared" si="41"/>
        <v>66.090611863615138</v>
      </c>
      <c r="P96" s="25">
        <f t="shared" si="42"/>
        <v>1.4946286781877627</v>
      </c>
      <c r="Q96" s="17">
        <v>285</v>
      </c>
      <c r="R96" s="17">
        <v>32</v>
      </c>
      <c r="S96" s="17">
        <v>1381</v>
      </c>
      <c r="T96" s="17">
        <f t="shared" si="43"/>
        <v>1413</v>
      </c>
      <c r="U96" s="25">
        <f t="shared" si="44"/>
        <v>2.264685067232838</v>
      </c>
      <c r="V96" s="17">
        <v>11</v>
      </c>
      <c r="W96" s="25">
        <f t="shared" si="45"/>
        <v>0.77848549186128801</v>
      </c>
      <c r="X96" s="17">
        <v>1402</v>
      </c>
      <c r="Y96" s="17">
        <v>0</v>
      </c>
      <c r="Z96" s="17">
        <v>0</v>
      </c>
      <c r="AA96" s="17">
        <v>242</v>
      </c>
      <c r="AB96" s="25">
        <f t="shared" si="46"/>
        <v>17.126680820948337</v>
      </c>
      <c r="AC96" s="17">
        <v>29</v>
      </c>
      <c r="AD96" s="25">
        <f t="shared" si="47"/>
        <v>2.0523708421797595</v>
      </c>
      <c r="AE96" s="17">
        <v>32</v>
      </c>
      <c r="AF96" s="25">
        <f t="shared" si="48"/>
        <v>2.264685067232838</v>
      </c>
      <c r="AG96" s="17">
        <v>27</v>
      </c>
      <c r="AH96" s="25">
        <f t="shared" si="49"/>
        <v>1.910828025477707</v>
      </c>
      <c r="AI96" s="17">
        <v>916</v>
      </c>
      <c r="AJ96" s="25">
        <f t="shared" si="50"/>
        <v>64.82661004953998</v>
      </c>
      <c r="AK96" s="17">
        <v>57</v>
      </c>
      <c r="AL96" s="25">
        <f t="shared" si="51"/>
        <v>4.0339702760084926</v>
      </c>
      <c r="AM96" s="17">
        <v>22</v>
      </c>
      <c r="AN96" s="25">
        <f t="shared" si="52"/>
        <v>1.556970983722576</v>
      </c>
      <c r="AO96" s="17">
        <v>3</v>
      </c>
      <c r="AP96" s="25">
        <f t="shared" si="53"/>
        <v>0.21231422505307856</v>
      </c>
      <c r="AQ96" s="17">
        <v>17</v>
      </c>
      <c r="AR96" s="25">
        <f t="shared" si="54"/>
        <v>1.2031139419674453</v>
      </c>
      <c r="AS96" s="17">
        <v>18</v>
      </c>
      <c r="AT96" s="25">
        <f t="shared" si="55"/>
        <v>1.2738853503184713</v>
      </c>
      <c r="AU96" s="17">
        <v>5</v>
      </c>
      <c r="AV96" s="25">
        <f t="shared" si="56"/>
        <v>0.35385704175513094</v>
      </c>
      <c r="AW96" s="17">
        <v>18</v>
      </c>
      <c r="AX96" s="25">
        <f t="shared" si="57"/>
        <v>1.2738853503184713</v>
      </c>
      <c r="AY96" s="17">
        <v>8</v>
      </c>
      <c r="AZ96" s="25">
        <f t="shared" si="58"/>
        <v>0.56617126680820951</v>
      </c>
      <c r="BA96" s="17">
        <v>8</v>
      </c>
      <c r="BB96" s="25">
        <f t="shared" si="59"/>
        <v>0.56617126680820951</v>
      </c>
      <c r="BC96" s="17" t="s">
        <v>314</v>
      </c>
      <c r="BD96" s="17" t="s">
        <v>455</v>
      </c>
      <c r="BF96" s="26">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722.27972027972032</v>
      </c>
      <c r="BG96" s="26">
        <f>2*(Дума_партии[[#This Row],[5. Всероссийская политическая партия "ЕДИНАЯ РОССИЯ"]]-(AB$203/100)*Дума_партии[[#This Row],[Число действительных избирательных бюллетеней]])</f>
        <v>1032.8600000000001</v>
      </c>
      <c r="BH96" s="26">
        <f>(Дума_партии[[#This Row],[Вброс]]+Дума_партии[[#This Row],[Перекладывание]])/2</f>
        <v>877.56986013986022</v>
      </c>
    </row>
    <row r="97" spans="1:60" s="17" customFormat="1" x14ac:dyDescent="0.4">
      <c r="A97" s="17" t="s">
        <v>49</v>
      </c>
      <c r="B97" s="17" t="s">
        <v>50</v>
      </c>
      <c r="C97" s="17" t="s">
        <v>51</v>
      </c>
      <c r="D97" s="17" t="s">
        <v>138</v>
      </c>
      <c r="E97" s="17" t="s">
        <v>225</v>
      </c>
      <c r="F97" s="24">
        <f t="shared" ca="1" si="40"/>
        <v>3991</v>
      </c>
      <c r="G97" s="17" t="s">
        <v>348</v>
      </c>
      <c r="H97" s="17" t="str">
        <f>LEFT(Дума_партии[[#This Row],[tik]],4)&amp;"."&amp;IF(ISNUMBER(VALUE(RIGHT(Дума_партии[[#This Row],[tik]]))),RIGHT(Дума_партии[[#This Row],[tik]]),"")</f>
        <v>Один.</v>
      </c>
      <c r="I97" s="17">
        <v>1230</v>
      </c>
      <c r="J97" s="24">
        <f>Дума_партии[[#This Row],[Число избирателей, внесенных в список избирателей на момент окончания голосования]]</f>
        <v>1230</v>
      </c>
      <c r="K97" s="17">
        <v>900</v>
      </c>
      <c r="L97" s="17">
        <v>0</v>
      </c>
      <c r="M97" s="17">
        <v>735</v>
      </c>
      <c r="N97" s="17">
        <v>71</v>
      </c>
      <c r="O97" s="25">
        <f t="shared" si="41"/>
        <v>65.528455284552848</v>
      </c>
      <c r="P97" s="25">
        <f t="shared" si="42"/>
        <v>5.7723577235772359</v>
      </c>
      <c r="Q97" s="17">
        <v>94</v>
      </c>
      <c r="R97" s="17">
        <v>71</v>
      </c>
      <c r="S97" s="17">
        <v>664</v>
      </c>
      <c r="T97" s="17">
        <f t="shared" si="43"/>
        <v>735</v>
      </c>
      <c r="U97" s="25">
        <f t="shared" si="44"/>
        <v>9.6598639455782305</v>
      </c>
      <c r="V97" s="17">
        <v>25</v>
      </c>
      <c r="W97" s="25">
        <f t="shared" si="45"/>
        <v>3.4013605442176869</v>
      </c>
      <c r="X97" s="17">
        <v>710</v>
      </c>
      <c r="Y97" s="17">
        <v>0</v>
      </c>
      <c r="Z97" s="17">
        <v>0</v>
      </c>
      <c r="AA97" s="17">
        <v>169</v>
      </c>
      <c r="AB97" s="25">
        <f t="shared" si="46"/>
        <v>22.993197278911566</v>
      </c>
      <c r="AC97" s="17">
        <v>5</v>
      </c>
      <c r="AD97" s="25">
        <f t="shared" si="47"/>
        <v>0.68027210884353739</v>
      </c>
      <c r="AE97" s="17">
        <v>64</v>
      </c>
      <c r="AF97" s="25">
        <f t="shared" si="48"/>
        <v>8.7074829931972797</v>
      </c>
      <c r="AG97" s="17">
        <v>27</v>
      </c>
      <c r="AH97" s="25">
        <f t="shared" si="49"/>
        <v>3.6734693877551021</v>
      </c>
      <c r="AI97" s="17">
        <v>304</v>
      </c>
      <c r="AJ97" s="25">
        <f t="shared" si="50"/>
        <v>41.360544217687078</v>
      </c>
      <c r="AK97" s="17">
        <v>42</v>
      </c>
      <c r="AL97" s="25">
        <f t="shared" si="51"/>
        <v>5.7142857142857144</v>
      </c>
      <c r="AM97" s="17">
        <v>7</v>
      </c>
      <c r="AN97" s="25">
        <f t="shared" si="52"/>
        <v>0.95238095238095233</v>
      </c>
      <c r="AO97" s="17">
        <v>3</v>
      </c>
      <c r="AP97" s="25">
        <f t="shared" si="53"/>
        <v>0.40816326530612246</v>
      </c>
      <c r="AQ97" s="17">
        <v>4</v>
      </c>
      <c r="AR97" s="25">
        <f t="shared" si="54"/>
        <v>0.54421768707482998</v>
      </c>
      <c r="AS97" s="17">
        <v>11</v>
      </c>
      <c r="AT97" s="25">
        <f t="shared" si="55"/>
        <v>1.4965986394557824</v>
      </c>
      <c r="AU97" s="17">
        <v>0</v>
      </c>
      <c r="AV97" s="25">
        <f t="shared" si="56"/>
        <v>0</v>
      </c>
      <c r="AW97" s="17">
        <v>4</v>
      </c>
      <c r="AX97" s="25">
        <f t="shared" si="57"/>
        <v>0.54421768707482998</v>
      </c>
      <c r="AY97" s="17">
        <v>9</v>
      </c>
      <c r="AZ97" s="25">
        <f t="shared" si="58"/>
        <v>1.2244897959183674</v>
      </c>
      <c r="BA97" s="17">
        <v>61</v>
      </c>
      <c r="BB97" s="25">
        <f t="shared" si="59"/>
        <v>8.2993197278911559</v>
      </c>
      <c r="BC97" s="17" t="s">
        <v>314</v>
      </c>
      <c r="BD97" s="17" t="s">
        <v>455</v>
      </c>
      <c r="BF97" s="26">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142.16783216783219</v>
      </c>
      <c r="BG97" s="26">
        <f>2*(Дума_партии[[#This Row],[5. Всероссийская политическая партия "ЕДИНАЯ РОССИЯ"]]-(AB$203/100)*Дума_партии[[#This Row],[Число действительных избирательных бюллетеней]])</f>
        <v>203.3</v>
      </c>
      <c r="BH97" s="26">
        <f>(Дума_партии[[#This Row],[Вброс]]+Дума_партии[[#This Row],[Перекладывание]])/2</f>
        <v>172.73391608391609</v>
      </c>
    </row>
    <row r="98" spans="1:60" s="17" customFormat="1" x14ac:dyDescent="0.4">
      <c r="A98" s="17" t="s">
        <v>49</v>
      </c>
      <c r="B98" s="17" t="s">
        <v>50</v>
      </c>
      <c r="C98" s="17" t="s">
        <v>51</v>
      </c>
      <c r="D98" s="17" t="s">
        <v>138</v>
      </c>
      <c r="E98" s="17" t="s">
        <v>226</v>
      </c>
      <c r="F98" s="24">
        <f t="shared" ref="F98:F129" ca="1" si="60">SUMPRODUCT(MID(0&amp;E98, LARGE(INDEX(ISNUMBER(--MID(E98, ROW(INDIRECT("1:"&amp;LEN(E98))), 1)) * ROW(INDIRECT("1:"&amp;LEN(E98))), 0), ROW(INDIRECT("1:"&amp;LEN(E98))))+1, 1) * 10^ROW(INDIRECT("1:"&amp;LEN(E98)))/10)</f>
        <v>3992</v>
      </c>
      <c r="G98" s="17" t="s">
        <v>346</v>
      </c>
      <c r="H98" s="17" t="str">
        <f>LEFT(Дума_партии[[#This Row],[tik]],4)&amp;"."&amp;IF(ISNUMBER(VALUE(RIGHT(Дума_партии[[#This Row],[tik]]))),RIGHT(Дума_партии[[#This Row],[tik]]),"")</f>
        <v>Один.</v>
      </c>
      <c r="I98" s="17">
        <v>915</v>
      </c>
      <c r="J98" s="24">
        <f>Дума_партии[[#This Row],[Число избирателей, внесенных в список избирателей на момент окончания голосования]]</f>
        <v>915</v>
      </c>
      <c r="K98" s="17">
        <v>800</v>
      </c>
      <c r="L98" s="17">
        <v>0</v>
      </c>
      <c r="M98" s="17">
        <v>516</v>
      </c>
      <c r="N98" s="17">
        <v>31</v>
      </c>
      <c r="O98" s="25">
        <f t="shared" ref="O98:O129" si="61">100*(M98+N98)/I98</f>
        <v>59.78142076502732</v>
      </c>
      <c r="P98" s="25">
        <f t="shared" ref="P98:P129" si="62">100*N98/I98</f>
        <v>3.3879781420765029</v>
      </c>
      <c r="Q98" s="17">
        <v>253</v>
      </c>
      <c r="R98" s="17">
        <v>31</v>
      </c>
      <c r="S98" s="17">
        <v>516</v>
      </c>
      <c r="T98" s="17">
        <f t="shared" ref="T98:T129" si="63">R98+S98</f>
        <v>547</v>
      </c>
      <c r="U98" s="25">
        <f t="shared" ref="U98:U129" si="64">100*R98/T98</f>
        <v>5.6672760511883</v>
      </c>
      <c r="V98" s="17">
        <v>5</v>
      </c>
      <c r="W98" s="25">
        <f t="shared" ref="W98:W129" si="65">100*V98/T98</f>
        <v>0.91407678244972579</v>
      </c>
      <c r="X98" s="17">
        <v>542</v>
      </c>
      <c r="Y98" s="17">
        <v>0</v>
      </c>
      <c r="Z98" s="17">
        <v>0</v>
      </c>
      <c r="AA98" s="17">
        <v>98</v>
      </c>
      <c r="AB98" s="25">
        <f t="shared" ref="AB98:AB129" si="66">100*AA98/$T98</f>
        <v>17.915904936014627</v>
      </c>
      <c r="AC98" s="17">
        <v>10</v>
      </c>
      <c r="AD98" s="25">
        <f t="shared" ref="AD98:AD129" si="67">100*AC98/$T98</f>
        <v>1.8281535648994516</v>
      </c>
      <c r="AE98" s="17">
        <v>56</v>
      </c>
      <c r="AF98" s="25">
        <f t="shared" ref="AF98:AF129" si="68">100*AE98/$T98</f>
        <v>10.237659963436929</v>
      </c>
      <c r="AG98" s="17">
        <v>6</v>
      </c>
      <c r="AH98" s="25">
        <f t="shared" ref="AH98:AH129" si="69">100*AG98/$T98</f>
        <v>1.0968921389396709</v>
      </c>
      <c r="AI98" s="17">
        <v>336</v>
      </c>
      <c r="AJ98" s="25">
        <f t="shared" ref="AJ98:AJ129" si="70">100*AI98/$T98</f>
        <v>61.425959780621575</v>
      </c>
      <c r="AK98" s="17">
        <v>21</v>
      </c>
      <c r="AL98" s="25">
        <f t="shared" ref="AL98:AL129" si="71">100*AK98/$T98</f>
        <v>3.8391224862888484</v>
      </c>
      <c r="AM98" s="17">
        <v>6</v>
      </c>
      <c r="AN98" s="25">
        <f t="shared" ref="AN98:AN129" si="72">100*AM98/$T98</f>
        <v>1.0968921389396709</v>
      </c>
      <c r="AO98" s="17">
        <v>0</v>
      </c>
      <c r="AP98" s="25">
        <f t="shared" ref="AP98:AP129" si="73">100*AO98/$T98</f>
        <v>0</v>
      </c>
      <c r="AQ98" s="17">
        <v>2</v>
      </c>
      <c r="AR98" s="25">
        <f t="shared" ref="AR98:AR129" si="74">100*AQ98/$T98</f>
        <v>0.3656307129798903</v>
      </c>
      <c r="AS98" s="17">
        <v>4</v>
      </c>
      <c r="AT98" s="25">
        <f t="shared" ref="AT98:AT129" si="75">100*AS98/$T98</f>
        <v>0.73126142595978061</v>
      </c>
      <c r="AU98" s="17">
        <v>0</v>
      </c>
      <c r="AV98" s="25">
        <f t="shared" ref="AV98:AV129" si="76">100*AU98/$T98</f>
        <v>0</v>
      </c>
      <c r="AW98" s="17">
        <v>0</v>
      </c>
      <c r="AX98" s="25">
        <f t="shared" ref="AX98:AX129" si="77">100*AW98/$T98</f>
        <v>0</v>
      </c>
      <c r="AY98" s="17">
        <v>3</v>
      </c>
      <c r="AZ98" s="25">
        <f t="shared" ref="AZ98:AZ129" si="78">100*AY98/$T98</f>
        <v>0.54844606946983543</v>
      </c>
      <c r="BA98" s="17">
        <v>0</v>
      </c>
      <c r="BB98" s="25">
        <f t="shared" ref="BB98:BB129" si="79">100*BA98/$T98</f>
        <v>0</v>
      </c>
      <c r="BC98" s="17" t="s">
        <v>314</v>
      </c>
      <c r="BD98" s="17" t="s">
        <v>455</v>
      </c>
      <c r="BF98" s="26">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253.88811188811189</v>
      </c>
      <c r="BG98" s="26">
        <f>2*(Дума_партии[[#This Row],[5. Всероссийская политическая партия "ЕДИНАЯ РОССИЯ"]]-(AB$203/100)*Дума_партии[[#This Row],[Число действительных избирательных бюллетеней]])</f>
        <v>363.06</v>
      </c>
      <c r="BH98" s="26">
        <f>(Дума_партии[[#This Row],[Вброс]]+Дума_партии[[#This Row],[Перекладывание]])/2</f>
        <v>308.47405594405598</v>
      </c>
    </row>
    <row r="99" spans="1:60" x14ac:dyDescent="0.4">
      <c r="A99" t="s">
        <v>49</v>
      </c>
      <c r="B99" t="s">
        <v>50</v>
      </c>
      <c r="C99" t="s">
        <v>51</v>
      </c>
      <c r="D99" t="s">
        <v>227</v>
      </c>
      <c r="E99" t="s">
        <v>228</v>
      </c>
      <c r="F99" s="8">
        <f t="shared" ca="1" si="60"/>
        <v>1947</v>
      </c>
      <c r="G99" t="s">
        <v>349</v>
      </c>
      <c r="H99" s="1" t="str">
        <f>LEFT(Дума_партии[[#This Row],[tik]],4)&amp;"."&amp;IF(ISNUMBER(VALUE(RIGHT(Дума_партии[[#This Row],[tik]]))),RIGHT(Дума_партии[[#This Row],[tik]]),"")</f>
        <v>Один.2</v>
      </c>
      <c r="I99">
        <v>2387</v>
      </c>
      <c r="J99" s="8">
        <f>Дума_партии[[#This Row],[Число избирателей, внесенных в список избирателей на момент окончания голосования]]</f>
        <v>2387</v>
      </c>
      <c r="K99">
        <v>2000</v>
      </c>
      <c r="L99">
        <v>0</v>
      </c>
      <c r="M99">
        <v>710</v>
      </c>
      <c r="N99">
        <v>429</v>
      </c>
      <c r="O99" s="3">
        <f t="shared" si="61"/>
        <v>47.716799329702553</v>
      </c>
      <c r="P99" s="3">
        <f t="shared" si="62"/>
        <v>17.972350230414747</v>
      </c>
      <c r="Q99">
        <v>861</v>
      </c>
      <c r="R99">
        <v>429</v>
      </c>
      <c r="S99">
        <v>710</v>
      </c>
      <c r="T99" s="1">
        <f t="shared" si="63"/>
        <v>1139</v>
      </c>
      <c r="U99" s="3">
        <f t="shared" si="64"/>
        <v>37.664618086040385</v>
      </c>
      <c r="V99">
        <v>269</v>
      </c>
      <c r="W99" s="3">
        <f t="shared" si="65"/>
        <v>23.617208077260756</v>
      </c>
      <c r="X99">
        <v>870</v>
      </c>
      <c r="Y99">
        <v>0</v>
      </c>
      <c r="Z99">
        <v>0</v>
      </c>
      <c r="AA99">
        <v>189</v>
      </c>
      <c r="AB99" s="3">
        <f t="shared" si="66"/>
        <v>16.593503072870938</v>
      </c>
      <c r="AC99">
        <v>6</v>
      </c>
      <c r="AD99" s="3">
        <f t="shared" si="67"/>
        <v>0.52677787532923614</v>
      </c>
      <c r="AE99">
        <v>56</v>
      </c>
      <c r="AF99" s="3">
        <f t="shared" si="68"/>
        <v>4.9165935030728711</v>
      </c>
      <c r="AG99">
        <v>47</v>
      </c>
      <c r="AH99" s="3">
        <f t="shared" si="69"/>
        <v>4.1264266900790165</v>
      </c>
      <c r="AI99">
        <v>404</v>
      </c>
      <c r="AJ99" s="3">
        <f t="shared" si="70"/>
        <v>35.46971027216857</v>
      </c>
      <c r="AK99">
        <v>67</v>
      </c>
      <c r="AL99" s="3">
        <f t="shared" si="71"/>
        <v>5.882352941176471</v>
      </c>
      <c r="AM99">
        <v>13</v>
      </c>
      <c r="AN99" s="3">
        <f t="shared" si="72"/>
        <v>1.1413520632133451</v>
      </c>
      <c r="AO99">
        <v>4</v>
      </c>
      <c r="AP99" s="3">
        <f t="shared" si="73"/>
        <v>0.35118525021949076</v>
      </c>
      <c r="AQ99">
        <v>10</v>
      </c>
      <c r="AR99" s="3">
        <f t="shared" si="74"/>
        <v>0.87796312554872691</v>
      </c>
      <c r="AS99">
        <v>16</v>
      </c>
      <c r="AT99" s="3">
        <f t="shared" si="75"/>
        <v>1.4047410008779631</v>
      </c>
      <c r="AU99">
        <v>0</v>
      </c>
      <c r="AV99" s="3">
        <f t="shared" si="76"/>
        <v>0</v>
      </c>
      <c r="AW99">
        <v>9</v>
      </c>
      <c r="AX99" s="3">
        <f t="shared" si="77"/>
        <v>0.79016681299385427</v>
      </c>
      <c r="AY99">
        <v>12</v>
      </c>
      <c r="AZ99" s="3">
        <f t="shared" si="78"/>
        <v>1.0535557506584723</v>
      </c>
      <c r="BA99">
        <v>37</v>
      </c>
      <c r="BB99" s="3">
        <f t="shared" si="79"/>
        <v>3.2484635645302897</v>
      </c>
      <c r="BC99" t="s">
        <v>315</v>
      </c>
      <c r="BD99" s="72">
        <v>2017</v>
      </c>
      <c r="BE99" s="1"/>
      <c r="BF99"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218.25174825174827</v>
      </c>
      <c r="BG99" s="10">
        <f>2*(Дума_партии[[#This Row],[5. Всероссийская политическая партия "ЕДИНАЯ РОССИЯ"]]-(AB$203/100)*Дума_партии[[#This Row],[Число действительных избирательных бюллетеней]])</f>
        <v>312.10000000000002</v>
      </c>
      <c r="BH99" s="10">
        <f>(Дума_партии[[#This Row],[Вброс]]+Дума_партии[[#This Row],[Перекладывание]])/2</f>
        <v>265.17587412587415</v>
      </c>
    </row>
    <row r="100" spans="1:60" x14ac:dyDescent="0.4">
      <c r="A100" t="s">
        <v>49</v>
      </c>
      <c r="B100" t="s">
        <v>50</v>
      </c>
      <c r="C100" t="s">
        <v>51</v>
      </c>
      <c r="D100" t="s">
        <v>227</v>
      </c>
      <c r="E100" t="s">
        <v>229</v>
      </c>
      <c r="F100" s="8">
        <f t="shared" ca="1" si="60"/>
        <v>1948</v>
      </c>
      <c r="G100" t="s">
        <v>349</v>
      </c>
      <c r="H100" s="1" t="str">
        <f>LEFT(Дума_партии[[#This Row],[tik]],4)&amp;"."&amp;IF(ISNUMBER(VALUE(RIGHT(Дума_партии[[#This Row],[tik]]))),RIGHT(Дума_партии[[#This Row],[tik]]),"")</f>
        <v>Один.2</v>
      </c>
      <c r="I100">
        <v>1535</v>
      </c>
      <c r="J100" s="8">
        <f>Дума_партии[[#This Row],[Число избирателей, внесенных в список избирателей на момент окончания голосования]]</f>
        <v>1535</v>
      </c>
      <c r="K100">
        <v>1300</v>
      </c>
      <c r="L100">
        <v>0</v>
      </c>
      <c r="M100">
        <v>445</v>
      </c>
      <c r="N100">
        <v>370</v>
      </c>
      <c r="O100" s="3">
        <f t="shared" si="61"/>
        <v>53.094462540716613</v>
      </c>
      <c r="P100" s="3">
        <f t="shared" si="62"/>
        <v>24.104234527687296</v>
      </c>
      <c r="Q100">
        <v>485</v>
      </c>
      <c r="R100">
        <v>370</v>
      </c>
      <c r="S100">
        <v>445</v>
      </c>
      <c r="T100" s="1">
        <f t="shared" si="63"/>
        <v>815</v>
      </c>
      <c r="U100" s="3">
        <f t="shared" si="64"/>
        <v>45.398773006134967</v>
      </c>
      <c r="V100">
        <v>25</v>
      </c>
      <c r="W100" s="3">
        <f t="shared" si="65"/>
        <v>3.0674846625766872</v>
      </c>
      <c r="X100">
        <v>790</v>
      </c>
      <c r="Y100">
        <v>0</v>
      </c>
      <c r="Z100">
        <v>0</v>
      </c>
      <c r="AA100">
        <v>150</v>
      </c>
      <c r="AB100" s="3">
        <f t="shared" si="66"/>
        <v>18.404907975460123</v>
      </c>
      <c r="AC100">
        <v>5</v>
      </c>
      <c r="AD100" s="3">
        <f t="shared" si="67"/>
        <v>0.61349693251533743</v>
      </c>
      <c r="AE100">
        <v>29</v>
      </c>
      <c r="AF100" s="3">
        <f t="shared" si="68"/>
        <v>3.5582822085889569</v>
      </c>
      <c r="AG100">
        <v>29</v>
      </c>
      <c r="AH100" s="3">
        <f t="shared" si="69"/>
        <v>3.5582822085889569</v>
      </c>
      <c r="AI100">
        <v>466</v>
      </c>
      <c r="AJ100" s="3">
        <f t="shared" si="70"/>
        <v>57.177914110429448</v>
      </c>
      <c r="AK100">
        <v>41</v>
      </c>
      <c r="AL100" s="3">
        <f t="shared" si="71"/>
        <v>5.0306748466257671</v>
      </c>
      <c r="AM100">
        <v>12</v>
      </c>
      <c r="AN100" s="3">
        <f t="shared" si="72"/>
        <v>1.4723926380368098</v>
      </c>
      <c r="AO100">
        <v>2</v>
      </c>
      <c r="AP100" s="3">
        <f t="shared" si="73"/>
        <v>0.24539877300613497</v>
      </c>
      <c r="AQ100">
        <v>10</v>
      </c>
      <c r="AR100" s="3">
        <f t="shared" si="74"/>
        <v>1.2269938650306749</v>
      </c>
      <c r="AS100">
        <v>6</v>
      </c>
      <c r="AT100" s="3">
        <f t="shared" si="75"/>
        <v>0.73619631901840488</v>
      </c>
      <c r="AU100">
        <v>0</v>
      </c>
      <c r="AV100" s="3">
        <f t="shared" si="76"/>
        <v>0</v>
      </c>
      <c r="AW100">
        <v>6</v>
      </c>
      <c r="AX100" s="3">
        <f t="shared" si="77"/>
        <v>0.73619631901840488</v>
      </c>
      <c r="AY100">
        <v>6</v>
      </c>
      <c r="AZ100" s="3">
        <f t="shared" si="78"/>
        <v>0.73619631901840488</v>
      </c>
      <c r="BA100">
        <v>28</v>
      </c>
      <c r="BB100" s="3">
        <f t="shared" si="79"/>
        <v>3.4355828220858897</v>
      </c>
      <c r="BC100" t="s">
        <v>315</v>
      </c>
      <c r="BD100" s="72">
        <v>2017</v>
      </c>
      <c r="BE100" s="1"/>
      <c r="BF100"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336.85314685314688</v>
      </c>
      <c r="BG100" s="10">
        <f>2*(Дума_партии[[#This Row],[5. Всероссийская политическая партия "ЕДИНАЯ РОССИЯ"]]-(AB$203/100)*Дума_партии[[#This Row],[Число действительных избирательных бюллетеней]])</f>
        <v>481.70000000000005</v>
      </c>
      <c r="BH100" s="10">
        <f>(Дума_партии[[#This Row],[Вброс]]+Дума_партии[[#This Row],[Перекладывание]])/2</f>
        <v>409.27657342657346</v>
      </c>
    </row>
    <row r="101" spans="1:60" x14ac:dyDescent="0.4">
      <c r="A101" t="s">
        <v>49</v>
      </c>
      <c r="B101" t="s">
        <v>50</v>
      </c>
      <c r="C101" t="s">
        <v>51</v>
      </c>
      <c r="D101" t="s">
        <v>227</v>
      </c>
      <c r="E101" t="s">
        <v>230</v>
      </c>
      <c r="F101" s="8">
        <f t="shared" ca="1" si="60"/>
        <v>1950</v>
      </c>
      <c r="G101" t="s">
        <v>349</v>
      </c>
      <c r="H101" s="1" t="str">
        <f>LEFT(Дума_партии[[#This Row],[tik]],4)&amp;"."&amp;IF(ISNUMBER(VALUE(RIGHT(Дума_партии[[#This Row],[tik]]))),RIGHT(Дума_партии[[#This Row],[tik]]),"")</f>
        <v>Один.2</v>
      </c>
      <c r="I101">
        <v>2645</v>
      </c>
      <c r="J101" s="8">
        <f>Дума_партии[[#This Row],[Число избирателей, внесенных в список избирателей на момент окончания голосования]]</f>
        <v>2645</v>
      </c>
      <c r="K101">
        <v>2000</v>
      </c>
      <c r="L101">
        <v>0</v>
      </c>
      <c r="M101">
        <v>820</v>
      </c>
      <c r="N101">
        <v>16</v>
      </c>
      <c r="O101" s="3">
        <f t="shared" si="61"/>
        <v>31.606805293005671</v>
      </c>
      <c r="P101" s="3">
        <f t="shared" si="62"/>
        <v>0.60491493383742911</v>
      </c>
      <c r="Q101">
        <v>1164</v>
      </c>
      <c r="R101">
        <v>16</v>
      </c>
      <c r="S101">
        <v>820</v>
      </c>
      <c r="T101" s="1">
        <f t="shared" si="63"/>
        <v>836</v>
      </c>
      <c r="U101" s="3">
        <f t="shared" si="64"/>
        <v>1.9138755980861244</v>
      </c>
      <c r="V101">
        <v>37</v>
      </c>
      <c r="W101" s="3">
        <f t="shared" si="65"/>
        <v>4.4258373205741623</v>
      </c>
      <c r="X101">
        <v>799</v>
      </c>
      <c r="Y101">
        <v>0</v>
      </c>
      <c r="Z101">
        <v>0</v>
      </c>
      <c r="AA101">
        <v>220</v>
      </c>
      <c r="AB101" s="3">
        <f t="shared" si="66"/>
        <v>26.315789473684209</v>
      </c>
      <c r="AC101">
        <v>21</v>
      </c>
      <c r="AD101" s="3">
        <f t="shared" si="67"/>
        <v>2.5119617224880382</v>
      </c>
      <c r="AE101">
        <v>74</v>
      </c>
      <c r="AF101" s="3">
        <f t="shared" si="68"/>
        <v>8.8516746411483247</v>
      </c>
      <c r="AG101">
        <v>79</v>
      </c>
      <c r="AH101" s="3">
        <f t="shared" si="69"/>
        <v>9.4497607655502396</v>
      </c>
      <c r="AI101">
        <v>208</v>
      </c>
      <c r="AJ101" s="3">
        <f t="shared" si="70"/>
        <v>24.880382775119617</v>
      </c>
      <c r="AK101">
        <v>86</v>
      </c>
      <c r="AL101" s="3">
        <f t="shared" si="71"/>
        <v>10.287081339712918</v>
      </c>
      <c r="AM101">
        <v>15</v>
      </c>
      <c r="AN101" s="3">
        <f t="shared" si="72"/>
        <v>1.7942583732057416</v>
      </c>
      <c r="AO101">
        <v>5</v>
      </c>
      <c r="AP101" s="3">
        <f t="shared" si="73"/>
        <v>0.59808612440191389</v>
      </c>
      <c r="AQ101">
        <v>11</v>
      </c>
      <c r="AR101" s="3">
        <f t="shared" si="74"/>
        <v>1.3157894736842106</v>
      </c>
      <c r="AS101">
        <v>22</v>
      </c>
      <c r="AT101" s="3">
        <f t="shared" si="75"/>
        <v>2.6315789473684212</v>
      </c>
      <c r="AU101">
        <v>1</v>
      </c>
      <c r="AV101" s="3">
        <f t="shared" si="76"/>
        <v>0.11961722488038277</v>
      </c>
      <c r="AW101">
        <v>10</v>
      </c>
      <c r="AX101" s="3">
        <f t="shared" si="77"/>
        <v>1.1961722488038278</v>
      </c>
      <c r="AY101">
        <v>9</v>
      </c>
      <c r="AZ101" s="3">
        <f t="shared" si="78"/>
        <v>1.0765550239234449</v>
      </c>
      <c r="BA101">
        <v>38</v>
      </c>
      <c r="BB101" s="3">
        <f t="shared" si="79"/>
        <v>4.5454545454545459</v>
      </c>
      <c r="BC101" t="s">
        <v>315</v>
      </c>
      <c r="BD101" s="72">
        <v>2017</v>
      </c>
      <c r="BE101" s="1">
        <v>1</v>
      </c>
      <c r="BF101"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-27.573426573426531</v>
      </c>
      <c r="BG101" s="10">
        <f>2*(Дума_партии[[#This Row],[5. Всероссийская политическая партия "ЕДИНАЯ РОССИЯ"]]-(AB$203/100)*Дума_партии[[#This Row],[Число действительных избирательных бюллетеней]])</f>
        <v>-39.42999999999995</v>
      </c>
      <c r="BH101" s="10">
        <f>(Дума_партии[[#This Row],[Вброс]]+Дума_партии[[#This Row],[Перекладывание]])/2</f>
        <v>-33.50171328671324</v>
      </c>
    </row>
    <row r="102" spans="1:60" x14ac:dyDescent="0.4">
      <c r="A102" t="s">
        <v>49</v>
      </c>
      <c r="B102" t="s">
        <v>50</v>
      </c>
      <c r="C102" t="s">
        <v>51</v>
      </c>
      <c r="D102" t="s">
        <v>227</v>
      </c>
      <c r="E102" t="s">
        <v>231</v>
      </c>
      <c r="F102" s="8">
        <f t="shared" ca="1" si="60"/>
        <v>1953</v>
      </c>
      <c r="G102" t="s">
        <v>349</v>
      </c>
      <c r="H102" s="1" t="str">
        <f>LEFT(Дума_партии[[#This Row],[tik]],4)&amp;"."&amp;IF(ISNUMBER(VALUE(RIGHT(Дума_партии[[#This Row],[tik]]))),RIGHT(Дума_партии[[#This Row],[tik]]),"")</f>
        <v>Один.2</v>
      </c>
      <c r="I102">
        <v>2043</v>
      </c>
      <c r="J102" s="8">
        <f>Дума_партии[[#This Row],[Число избирателей, внесенных в список избирателей на момент окончания голосования]]</f>
        <v>2043</v>
      </c>
      <c r="K102">
        <v>1500</v>
      </c>
      <c r="L102">
        <v>0</v>
      </c>
      <c r="M102">
        <v>724</v>
      </c>
      <c r="N102">
        <v>15</v>
      </c>
      <c r="O102" s="3">
        <f t="shared" si="61"/>
        <v>36.172295643661279</v>
      </c>
      <c r="P102" s="3">
        <f t="shared" si="62"/>
        <v>0.73421439060205584</v>
      </c>
      <c r="Q102">
        <v>761</v>
      </c>
      <c r="R102">
        <v>15</v>
      </c>
      <c r="S102">
        <v>724</v>
      </c>
      <c r="T102" s="1">
        <f t="shared" si="63"/>
        <v>739</v>
      </c>
      <c r="U102" s="3">
        <f t="shared" si="64"/>
        <v>2.029769959404601</v>
      </c>
      <c r="V102">
        <v>21</v>
      </c>
      <c r="W102" s="3">
        <f t="shared" si="65"/>
        <v>2.8416779431664412</v>
      </c>
      <c r="X102">
        <v>718</v>
      </c>
      <c r="Y102">
        <v>0</v>
      </c>
      <c r="Z102">
        <v>0</v>
      </c>
      <c r="AA102">
        <v>189</v>
      </c>
      <c r="AB102" s="3">
        <f t="shared" si="66"/>
        <v>25.575101488497971</v>
      </c>
      <c r="AC102">
        <v>14</v>
      </c>
      <c r="AD102" s="3">
        <f t="shared" si="67"/>
        <v>1.8944519621109608</v>
      </c>
      <c r="AE102">
        <v>61</v>
      </c>
      <c r="AF102" s="3">
        <f t="shared" si="68"/>
        <v>8.2543978349120426</v>
      </c>
      <c r="AG102">
        <v>63</v>
      </c>
      <c r="AH102" s="3">
        <f t="shared" si="69"/>
        <v>8.5250338294993231</v>
      </c>
      <c r="AI102">
        <v>228</v>
      </c>
      <c r="AJ102" s="3">
        <f t="shared" si="70"/>
        <v>30.852503382949934</v>
      </c>
      <c r="AK102">
        <v>66</v>
      </c>
      <c r="AL102" s="3">
        <f t="shared" si="71"/>
        <v>8.9309878213802438</v>
      </c>
      <c r="AM102">
        <v>19</v>
      </c>
      <c r="AN102" s="3">
        <f t="shared" si="72"/>
        <v>2.5710419485791611</v>
      </c>
      <c r="AO102">
        <v>0</v>
      </c>
      <c r="AP102" s="3">
        <f t="shared" si="73"/>
        <v>0</v>
      </c>
      <c r="AQ102">
        <v>8</v>
      </c>
      <c r="AR102" s="3">
        <f t="shared" si="74"/>
        <v>1.0825439783491204</v>
      </c>
      <c r="AS102">
        <v>17</v>
      </c>
      <c r="AT102" s="3">
        <f t="shared" si="75"/>
        <v>2.3004059539918811</v>
      </c>
      <c r="AU102">
        <v>0</v>
      </c>
      <c r="AV102" s="3">
        <f t="shared" si="76"/>
        <v>0</v>
      </c>
      <c r="AW102">
        <v>12</v>
      </c>
      <c r="AX102" s="3">
        <f t="shared" si="77"/>
        <v>1.6238159675236807</v>
      </c>
      <c r="AY102">
        <v>6</v>
      </c>
      <c r="AZ102" s="3">
        <f t="shared" si="78"/>
        <v>0.81190798376184037</v>
      </c>
      <c r="BA102">
        <v>35</v>
      </c>
      <c r="BB102" s="3">
        <f t="shared" si="79"/>
        <v>4.7361299052774015</v>
      </c>
      <c r="BC102" t="s">
        <v>315</v>
      </c>
      <c r="BD102" t="s">
        <v>455</v>
      </c>
      <c r="BE102" s="1"/>
      <c r="BF102"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32.685314685314722</v>
      </c>
      <c r="BG102" s="10">
        <f>2*(Дума_партии[[#This Row],[5. Всероссийская политическая партия "ЕДИНАЯ РОССИЯ"]]-(AB$203/100)*Дума_партии[[#This Row],[Число действительных избирательных бюллетеней]])</f>
        <v>46.740000000000009</v>
      </c>
      <c r="BH102" s="10">
        <f>(Дума_партии[[#This Row],[Вброс]]+Дума_партии[[#This Row],[Перекладывание]])/2</f>
        <v>39.712657342657366</v>
      </c>
    </row>
    <row r="103" spans="1:60" x14ac:dyDescent="0.4">
      <c r="A103" t="s">
        <v>49</v>
      </c>
      <c r="B103" t="s">
        <v>50</v>
      </c>
      <c r="C103" t="s">
        <v>51</v>
      </c>
      <c r="D103" t="s">
        <v>227</v>
      </c>
      <c r="E103" t="s">
        <v>232</v>
      </c>
      <c r="F103" s="8">
        <f t="shared" ca="1" si="60"/>
        <v>1954</v>
      </c>
      <c r="G103" t="s">
        <v>349</v>
      </c>
      <c r="H103" s="1" t="str">
        <f>LEFT(Дума_партии[[#This Row],[tik]],4)&amp;"."&amp;IF(ISNUMBER(VALUE(RIGHT(Дума_партии[[#This Row],[tik]]))),RIGHT(Дума_партии[[#This Row],[tik]]),"")</f>
        <v>Один.2</v>
      </c>
      <c r="I103">
        <v>2142</v>
      </c>
      <c r="J103" s="8">
        <f>Дума_партии[[#This Row],[Число избирателей, внесенных в список избирателей на момент окончания голосования]]</f>
        <v>2142</v>
      </c>
      <c r="K103">
        <v>1271</v>
      </c>
      <c r="L103">
        <v>0</v>
      </c>
      <c r="M103">
        <v>900</v>
      </c>
      <c r="N103">
        <v>336</v>
      </c>
      <c r="O103" s="3">
        <f t="shared" si="61"/>
        <v>57.703081232492998</v>
      </c>
      <c r="P103" s="3">
        <f t="shared" si="62"/>
        <v>15.686274509803921</v>
      </c>
      <c r="Q103">
        <v>35</v>
      </c>
      <c r="R103">
        <v>336</v>
      </c>
      <c r="S103">
        <v>884</v>
      </c>
      <c r="T103" s="1">
        <f t="shared" si="63"/>
        <v>1220</v>
      </c>
      <c r="U103" s="3">
        <f t="shared" si="64"/>
        <v>27.540983606557376</v>
      </c>
      <c r="V103">
        <v>136</v>
      </c>
      <c r="W103" s="3">
        <f t="shared" si="65"/>
        <v>11.147540983606557</v>
      </c>
      <c r="X103">
        <v>1084</v>
      </c>
      <c r="Y103">
        <v>0</v>
      </c>
      <c r="Z103">
        <v>0</v>
      </c>
      <c r="AA103">
        <v>248</v>
      </c>
      <c r="AB103" s="3">
        <f t="shared" si="66"/>
        <v>20.327868852459016</v>
      </c>
      <c r="AC103">
        <v>12</v>
      </c>
      <c r="AD103" s="3">
        <f t="shared" si="67"/>
        <v>0.98360655737704916</v>
      </c>
      <c r="AE103">
        <v>115</v>
      </c>
      <c r="AF103" s="3">
        <f t="shared" si="68"/>
        <v>9.4262295081967213</v>
      </c>
      <c r="AG103">
        <v>70</v>
      </c>
      <c r="AH103" s="3">
        <f t="shared" si="69"/>
        <v>5.7377049180327866</v>
      </c>
      <c r="AI103">
        <v>437</v>
      </c>
      <c r="AJ103" s="3">
        <f t="shared" si="70"/>
        <v>35.819672131147541</v>
      </c>
      <c r="AK103">
        <v>94</v>
      </c>
      <c r="AL103" s="3">
        <f t="shared" si="71"/>
        <v>7.7049180327868854</v>
      </c>
      <c r="AM103">
        <v>17</v>
      </c>
      <c r="AN103" s="3">
        <f t="shared" si="72"/>
        <v>1.3934426229508197</v>
      </c>
      <c r="AO103">
        <v>4</v>
      </c>
      <c r="AP103" s="3">
        <f t="shared" si="73"/>
        <v>0.32786885245901637</v>
      </c>
      <c r="AQ103">
        <v>12</v>
      </c>
      <c r="AR103" s="3">
        <f t="shared" si="74"/>
        <v>0.98360655737704916</v>
      </c>
      <c r="AS103">
        <v>13</v>
      </c>
      <c r="AT103" s="3">
        <f t="shared" si="75"/>
        <v>1.0655737704918034</v>
      </c>
      <c r="AU103">
        <v>1</v>
      </c>
      <c r="AV103" s="3">
        <f t="shared" si="76"/>
        <v>8.1967213114754092E-2</v>
      </c>
      <c r="AW103">
        <v>13</v>
      </c>
      <c r="AX103" s="3">
        <f t="shared" si="77"/>
        <v>1.0655737704918034</v>
      </c>
      <c r="AY103">
        <v>7</v>
      </c>
      <c r="AZ103" s="3">
        <f t="shared" si="78"/>
        <v>0.57377049180327866</v>
      </c>
      <c r="BA103">
        <v>41</v>
      </c>
      <c r="BB103" s="3">
        <f t="shared" si="79"/>
        <v>3.360655737704918</v>
      </c>
      <c r="BC103" t="s">
        <v>315</v>
      </c>
      <c r="BD103" t="s">
        <v>455</v>
      </c>
      <c r="BE103" s="1">
        <v>1</v>
      </c>
      <c r="BF103"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179.10489510489515</v>
      </c>
      <c r="BG103" s="10">
        <f>2*(Дума_партии[[#This Row],[5. Всероссийская политическая партия "ЕДИНАЯ РОССИЯ"]]-(AB$203/100)*Дума_партии[[#This Row],[Число действительных избирательных бюллетеней]])</f>
        <v>256.12</v>
      </c>
      <c r="BH103" s="10">
        <f>(Дума_партии[[#This Row],[Вброс]]+Дума_партии[[#This Row],[Перекладывание]])/2</f>
        <v>217.61244755244758</v>
      </c>
    </row>
    <row r="104" spans="1:60" x14ac:dyDescent="0.4">
      <c r="A104" t="s">
        <v>49</v>
      </c>
      <c r="B104" t="s">
        <v>50</v>
      </c>
      <c r="C104" t="s">
        <v>51</v>
      </c>
      <c r="D104" t="s">
        <v>227</v>
      </c>
      <c r="E104" t="s">
        <v>233</v>
      </c>
      <c r="F104" s="8">
        <f t="shared" ca="1" si="60"/>
        <v>1955</v>
      </c>
      <c r="G104" t="s">
        <v>349</v>
      </c>
      <c r="H104" s="1" t="str">
        <f>LEFT(Дума_партии[[#This Row],[tik]],4)&amp;"."&amp;IF(ISNUMBER(VALUE(RIGHT(Дума_партии[[#This Row],[tik]]))),RIGHT(Дума_партии[[#This Row],[tik]]),"")</f>
        <v>Один.2</v>
      </c>
      <c r="I104">
        <v>988</v>
      </c>
      <c r="J104" s="8">
        <f>Дума_партии[[#This Row],[Число избирателей, внесенных в список избирателей на момент окончания голосования]]</f>
        <v>988</v>
      </c>
      <c r="K104">
        <v>900</v>
      </c>
      <c r="L104">
        <v>0</v>
      </c>
      <c r="M104">
        <v>450</v>
      </c>
      <c r="N104">
        <v>115</v>
      </c>
      <c r="O104" s="3">
        <f t="shared" si="61"/>
        <v>57.186234817813762</v>
      </c>
      <c r="P104" s="3">
        <f t="shared" si="62"/>
        <v>11.639676113360323</v>
      </c>
      <c r="Q104">
        <v>335</v>
      </c>
      <c r="R104">
        <v>115</v>
      </c>
      <c r="S104">
        <v>450</v>
      </c>
      <c r="T104" s="1">
        <f t="shared" si="63"/>
        <v>565</v>
      </c>
      <c r="U104" s="3">
        <f t="shared" si="64"/>
        <v>20.353982300884955</v>
      </c>
      <c r="V104">
        <v>38</v>
      </c>
      <c r="W104" s="3">
        <f t="shared" si="65"/>
        <v>6.7256637168141591</v>
      </c>
      <c r="X104">
        <v>527</v>
      </c>
      <c r="Y104">
        <v>0</v>
      </c>
      <c r="Z104">
        <v>0</v>
      </c>
      <c r="AA104">
        <v>89</v>
      </c>
      <c r="AB104" s="3">
        <f t="shared" si="66"/>
        <v>15.752212389380531</v>
      </c>
      <c r="AC104">
        <v>5</v>
      </c>
      <c r="AD104" s="3">
        <f t="shared" si="67"/>
        <v>0.88495575221238942</v>
      </c>
      <c r="AE104">
        <v>53</v>
      </c>
      <c r="AF104" s="3">
        <f t="shared" si="68"/>
        <v>9.3805309734513269</v>
      </c>
      <c r="AG104">
        <v>36</v>
      </c>
      <c r="AH104" s="3">
        <f t="shared" si="69"/>
        <v>6.3716814159292037</v>
      </c>
      <c r="AI104">
        <v>248</v>
      </c>
      <c r="AJ104" s="3">
        <f t="shared" si="70"/>
        <v>43.89380530973451</v>
      </c>
      <c r="AK104">
        <v>39</v>
      </c>
      <c r="AL104" s="3">
        <f t="shared" si="71"/>
        <v>6.9026548672566372</v>
      </c>
      <c r="AM104">
        <v>11</v>
      </c>
      <c r="AN104" s="3">
        <f t="shared" si="72"/>
        <v>1.9469026548672566</v>
      </c>
      <c r="AO104">
        <v>2</v>
      </c>
      <c r="AP104" s="3">
        <f t="shared" si="73"/>
        <v>0.35398230088495575</v>
      </c>
      <c r="AQ104">
        <v>4</v>
      </c>
      <c r="AR104" s="3">
        <f t="shared" si="74"/>
        <v>0.70796460176991149</v>
      </c>
      <c r="AS104">
        <v>8</v>
      </c>
      <c r="AT104" s="3">
        <f t="shared" si="75"/>
        <v>1.415929203539823</v>
      </c>
      <c r="AU104">
        <v>0</v>
      </c>
      <c r="AV104" s="3">
        <f t="shared" si="76"/>
        <v>0</v>
      </c>
      <c r="AW104">
        <v>6</v>
      </c>
      <c r="AX104" s="3">
        <f t="shared" si="77"/>
        <v>1.0619469026548674</v>
      </c>
      <c r="AY104">
        <v>8</v>
      </c>
      <c r="AZ104" s="3">
        <f t="shared" si="78"/>
        <v>1.415929203539823</v>
      </c>
      <c r="BA104">
        <v>18</v>
      </c>
      <c r="BB104" s="3">
        <f t="shared" si="79"/>
        <v>3.1858407079646018</v>
      </c>
      <c r="BC104" t="s">
        <v>315</v>
      </c>
      <c r="BD104" t="s">
        <v>455</v>
      </c>
      <c r="BE104" s="1"/>
      <c r="BF104"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136.79020979020981</v>
      </c>
      <c r="BG104" s="10">
        <f>2*(Дума_партии[[#This Row],[5. Всероссийская политическая партия "ЕДИНАЯ РОССИЯ"]]-(AB$203/100)*Дума_партии[[#This Row],[Число действительных избирательных бюллетеней]])</f>
        <v>195.61</v>
      </c>
      <c r="BH104" s="10">
        <f>(Дума_партии[[#This Row],[Вброс]]+Дума_партии[[#This Row],[Перекладывание]])/2</f>
        <v>166.20010489510491</v>
      </c>
    </row>
    <row r="105" spans="1:60" x14ac:dyDescent="0.4">
      <c r="A105" t="s">
        <v>49</v>
      </c>
      <c r="B105" t="s">
        <v>50</v>
      </c>
      <c r="C105" t="s">
        <v>51</v>
      </c>
      <c r="D105" t="s">
        <v>227</v>
      </c>
      <c r="E105" t="s">
        <v>234</v>
      </c>
      <c r="F105" s="8">
        <f t="shared" ca="1" si="60"/>
        <v>1956</v>
      </c>
      <c r="G105" t="s">
        <v>350</v>
      </c>
      <c r="H105" s="1" t="str">
        <f>LEFT(Дума_партии[[#This Row],[tik]],4)&amp;"."&amp;IF(ISNUMBER(VALUE(RIGHT(Дума_партии[[#This Row],[tik]]))),RIGHT(Дума_партии[[#This Row],[tik]]),"")</f>
        <v>Один.2</v>
      </c>
      <c r="I105">
        <v>290</v>
      </c>
      <c r="J105" s="8">
        <f>Дума_партии[[#This Row],[Число избирателей, внесенных в список избирателей на момент окончания голосования]]</f>
        <v>290</v>
      </c>
      <c r="K105">
        <v>290</v>
      </c>
      <c r="L105">
        <v>0</v>
      </c>
      <c r="M105">
        <v>51</v>
      </c>
      <c r="N105">
        <v>239</v>
      </c>
      <c r="O105" s="3">
        <f t="shared" si="61"/>
        <v>100</v>
      </c>
      <c r="P105" s="3">
        <f t="shared" si="62"/>
        <v>82.41379310344827</v>
      </c>
      <c r="Q105">
        <v>0</v>
      </c>
      <c r="R105">
        <v>239</v>
      </c>
      <c r="S105">
        <v>51</v>
      </c>
      <c r="T105" s="1">
        <f t="shared" si="63"/>
        <v>290</v>
      </c>
      <c r="U105" s="3">
        <f t="shared" si="64"/>
        <v>82.41379310344827</v>
      </c>
      <c r="V105">
        <v>0</v>
      </c>
      <c r="W105" s="3">
        <f t="shared" si="65"/>
        <v>0</v>
      </c>
      <c r="X105">
        <v>290</v>
      </c>
      <c r="Y105">
        <v>0</v>
      </c>
      <c r="Z105">
        <v>0</v>
      </c>
      <c r="AA105">
        <v>12</v>
      </c>
      <c r="AB105" s="3">
        <f t="shared" si="66"/>
        <v>4.1379310344827589</v>
      </c>
      <c r="AC105">
        <v>0</v>
      </c>
      <c r="AD105" s="3">
        <f t="shared" si="67"/>
        <v>0</v>
      </c>
      <c r="AE105">
        <v>7</v>
      </c>
      <c r="AF105" s="3">
        <f t="shared" si="68"/>
        <v>2.4137931034482758</v>
      </c>
      <c r="AG105">
        <v>2</v>
      </c>
      <c r="AH105" s="3">
        <f t="shared" si="69"/>
        <v>0.68965517241379315</v>
      </c>
      <c r="AI105">
        <v>257</v>
      </c>
      <c r="AJ105" s="3">
        <f t="shared" si="70"/>
        <v>88.620689655172413</v>
      </c>
      <c r="AK105">
        <v>2</v>
      </c>
      <c r="AL105" s="3">
        <f t="shared" si="71"/>
        <v>0.68965517241379315</v>
      </c>
      <c r="AM105">
        <v>1</v>
      </c>
      <c r="AN105" s="3">
        <f t="shared" si="72"/>
        <v>0.34482758620689657</v>
      </c>
      <c r="AO105">
        <v>0</v>
      </c>
      <c r="AP105" s="3">
        <f t="shared" si="73"/>
        <v>0</v>
      </c>
      <c r="AQ105">
        <v>5</v>
      </c>
      <c r="AR105" s="3">
        <f t="shared" si="74"/>
        <v>1.7241379310344827</v>
      </c>
      <c r="AS105">
        <v>0</v>
      </c>
      <c r="AT105" s="3">
        <f t="shared" si="75"/>
        <v>0</v>
      </c>
      <c r="AU105">
        <v>1</v>
      </c>
      <c r="AV105" s="3">
        <f t="shared" si="76"/>
        <v>0.34482758620689657</v>
      </c>
      <c r="AW105">
        <v>0</v>
      </c>
      <c r="AX105" s="3">
        <f t="shared" si="77"/>
        <v>0</v>
      </c>
      <c r="AY105">
        <v>0</v>
      </c>
      <c r="AZ105" s="3">
        <f t="shared" si="78"/>
        <v>0</v>
      </c>
      <c r="BA105">
        <v>3</v>
      </c>
      <c r="BB105" s="3">
        <f t="shared" si="79"/>
        <v>1.0344827586206897</v>
      </c>
      <c r="BC105" t="s">
        <v>315</v>
      </c>
      <c r="BD105" t="s">
        <v>455</v>
      </c>
      <c r="BE105" s="1"/>
      <c r="BF105"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243.84615384615384</v>
      </c>
      <c r="BG105" s="10">
        <f>2*(Дума_партии[[#This Row],[5. Всероссийская политическая партия "ЕДИНАЯ РОССИЯ"]]-(AB$203/100)*Дума_партии[[#This Row],[Число действительных избирательных бюллетеней]])</f>
        <v>348.70000000000005</v>
      </c>
      <c r="BH105" s="10">
        <f>(Дума_партии[[#This Row],[Вброс]]+Дума_партии[[#This Row],[Перекладывание]])/2</f>
        <v>296.27307692307693</v>
      </c>
    </row>
    <row r="106" spans="1:60" x14ac:dyDescent="0.4">
      <c r="A106" t="s">
        <v>49</v>
      </c>
      <c r="B106" t="s">
        <v>50</v>
      </c>
      <c r="C106" t="s">
        <v>51</v>
      </c>
      <c r="D106" t="s">
        <v>227</v>
      </c>
      <c r="E106" t="s">
        <v>235</v>
      </c>
      <c r="F106" s="8">
        <f t="shared" ca="1" si="60"/>
        <v>1957</v>
      </c>
      <c r="G106" t="s">
        <v>351</v>
      </c>
      <c r="H106" s="1" t="str">
        <f>LEFT(Дума_партии[[#This Row],[tik]],4)&amp;"."&amp;IF(ISNUMBER(VALUE(RIGHT(Дума_партии[[#This Row],[tik]]))),RIGHT(Дума_партии[[#This Row],[tik]]),"")</f>
        <v>Один.2</v>
      </c>
      <c r="I106">
        <v>208</v>
      </c>
      <c r="J106" s="8">
        <f>Дума_партии[[#This Row],[Число избирателей, внесенных в список избирателей на момент окончания голосования]]</f>
        <v>208</v>
      </c>
      <c r="K106">
        <v>189</v>
      </c>
      <c r="L106">
        <v>0</v>
      </c>
      <c r="M106">
        <v>189</v>
      </c>
      <c r="N106">
        <v>0</v>
      </c>
      <c r="O106" s="3">
        <f t="shared" si="61"/>
        <v>90.865384615384613</v>
      </c>
      <c r="P106" s="3">
        <f t="shared" si="62"/>
        <v>0</v>
      </c>
      <c r="Q106">
        <v>0</v>
      </c>
      <c r="R106">
        <v>0</v>
      </c>
      <c r="S106">
        <v>186</v>
      </c>
      <c r="T106" s="1">
        <f t="shared" si="63"/>
        <v>186</v>
      </c>
      <c r="U106" s="3">
        <f t="shared" si="64"/>
        <v>0</v>
      </c>
      <c r="V106">
        <v>2</v>
      </c>
      <c r="W106" s="3">
        <f t="shared" si="65"/>
        <v>1.075268817204301</v>
      </c>
      <c r="X106">
        <v>184</v>
      </c>
      <c r="Y106">
        <v>0</v>
      </c>
      <c r="Z106">
        <v>0</v>
      </c>
      <c r="AA106">
        <v>42</v>
      </c>
      <c r="AB106" s="3">
        <f t="shared" si="66"/>
        <v>22.580645161290324</v>
      </c>
      <c r="AC106">
        <v>7</v>
      </c>
      <c r="AD106" s="3">
        <f t="shared" si="67"/>
        <v>3.763440860215054</v>
      </c>
      <c r="AE106">
        <v>27</v>
      </c>
      <c r="AF106" s="3">
        <f t="shared" si="68"/>
        <v>14.516129032258064</v>
      </c>
      <c r="AG106">
        <v>11</v>
      </c>
      <c r="AH106" s="3">
        <f t="shared" si="69"/>
        <v>5.913978494623656</v>
      </c>
      <c r="AI106">
        <v>65</v>
      </c>
      <c r="AJ106" s="3">
        <f t="shared" si="70"/>
        <v>34.946236559139784</v>
      </c>
      <c r="AK106">
        <v>5</v>
      </c>
      <c r="AL106" s="3">
        <f t="shared" si="71"/>
        <v>2.6881720430107525</v>
      </c>
      <c r="AM106">
        <v>8</v>
      </c>
      <c r="AN106" s="3">
        <f t="shared" si="72"/>
        <v>4.301075268817204</v>
      </c>
      <c r="AO106">
        <v>2</v>
      </c>
      <c r="AP106" s="3">
        <f t="shared" si="73"/>
        <v>1.075268817204301</v>
      </c>
      <c r="AQ106">
        <v>2</v>
      </c>
      <c r="AR106" s="3">
        <f t="shared" si="74"/>
        <v>1.075268817204301</v>
      </c>
      <c r="AS106">
        <v>0</v>
      </c>
      <c r="AT106" s="3">
        <f t="shared" si="75"/>
        <v>0</v>
      </c>
      <c r="AU106">
        <v>4</v>
      </c>
      <c r="AV106" s="3">
        <f t="shared" si="76"/>
        <v>2.150537634408602</v>
      </c>
      <c r="AW106">
        <v>2</v>
      </c>
      <c r="AX106" s="3">
        <f t="shared" si="77"/>
        <v>1.075268817204301</v>
      </c>
      <c r="AY106">
        <v>1</v>
      </c>
      <c r="AZ106" s="3">
        <f t="shared" si="78"/>
        <v>0.5376344086021505</v>
      </c>
      <c r="BA106">
        <v>8</v>
      </c>
      <c r="BB106" s="3">
        <f t="shared" si="79"/>
        <v>4.301075268817204</v>
      </c>
      <c r="BC106" t="s">
        <v>315</v>
      </c>
      <c r="BD106" t="s">
        <v>455</v>
      </c>
      <c r="BE106" s="1"/>
      <c r="BF106"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17.566433566433574</v>
      </c>
      <c r="BG106" s="10">
        <f>2*(Дума_партии[[#This Row],[5. Всероссийская политическая партия "ЕДИНАЯ РОССИЯ"]]-(AB$203/100)*Дума_партии[[#This Row],[Число действительных избирательных бюллетеней]])</f>
        <v>25.120000000000005</v>
      </c>
      <c r="BH106" s="10">
        <f>(Дума_партии[[#This Row],[Вброс]]+Дума_партии[[#This Row],[Перекладывание]])/2</f>
        <v>21.343216783216789</v>
      </c>
    </row>
    <row r="107" spans="1:60" x14ac:dyDescent="0.4">
      <c r="A107" t="s">
        <v>49</v>
      </c>
      <c r="B107" t="s">
        <v>50</v>
      </c>
      <c r="C107" t="s">
        <v>51</v>
      </c>
      <c r="D107" t="s">
        <v>227</v>
      </c>
      <c r="E107" t="s">
        <v>236</v>
      </c>
      <c r="F107" s="8">
        <f t="shared" ca="1" si="60"/>
        <v>1959</v>
      </c>
      <c r="G107" t="s">
        <v>349</v>
      </c>
      <c r="H107" s="1" t="str">
        <f>LEFT(Дума_партии[[#This Row],[tik]],4)&amp;"."&amp;IF(ISNUMBER(VALUE(RIGHT(Дума_партии[[#This Row],[tik]]))),RIGHT(Дума_партии[[#This Row],[tik]]),"")</f>
        <v>Один.2</v>
      </c>
      <c r="I107">
        <v>1743</v>
      </c>
      <c r="J107" s="8">
        <f>Дума_партии[[#This Row],[Число избирателей, внесенных в список избирателей на момент окончания голосования]]</f>
        <v>1743</v>
      </c>
      <c r="K107">
        <v>1500</v>
      </c>
      <c r="L107">
        <v>0</v>
      </c>
      <c r="M107">
        <v>669</v>
      </c>
      <c r="N107">
        <v>128</v>
      </c>
      <c r="O107" s="3">
        <f t="shared" si="61"/>
        <v>45.725760183591511</v>
      </c>
      <c r="P107" s="3">
        <f t="shared" si="62"/>
        <v>7.3436603557085487</v>
      </c>
      <c r="Q107">
        <v>703</v>
      </c>
      <c r="R107">
        <v>128</v>
      </c>
      <c r="S107">
        <v>669</v>
      </c>
      <c r="T107" s="1">
        <f t="shared" si="63"/>
        <v>797</v>
      </c>
      <c r="U107" s="3">
        <f t="shared" si="64"/>
        <v>16.060225846925974</v>
      </c>
      <c r="V107">
        <v>12</v>
      </c>
      <c r="W107" s="3">
        <f t="shared" si="65"/>
        <v>1.5056461731493098</v>
      </c>
      <c r="X107">
        <v>785</v>
      </c>
      <c r="Y107">
        <v>0</v>
      </c>
      <c r="Z107">
        <v>0</v>
      </c>
      <c r="AA107">
        <v>197</v>
      </c>
      <c r="AB107" s="3">
        <f t="shared" si="66"/>
        <v>24.717691342534504</v>
      </c>
      <c r="AC107">
        <v>18</v>
      </c>
      <c r="AD107" s="3">
        <f t="shared" si="67"/>
        <v>2.2584692597239648</v>
      </c>
      <c r="AE107">
        <v>61</v>
      </c>
      <c r="AF107" s="3">
        <f t="shared" si="68"/>
        <v>7.6537013801756588</v>
      </c>
      <c r="AG107">
        <v>50</v>
      </c>
      <c r="AH107" s="3">
        <f t="shared" si="69"/>
        <v>6.2735257214554583</v>
      </c>
      <c r="AI107">
        <v>286</v>
      </c>
      <c r="AJ107" s="3">
        <f t="shared" si="70"/>
        <v>35.884567126725223</v>
      </c>
      <c r="AK107">
        <v>63</v>
      </c>
      <c r="AL107" s="3">
        <f t="shared" si="71"/>
        <v>7.9046424090338769</v>
      </c>
      <c r="AM107">
        <v>24</v>
      </c>
      <c r="AN107" s="3">
        <f t="shared" si="72"/>
        <v>3.0112923462986196</v>
      </c>
      <c r="AO107">
        <v>2</v>
      </c>
      <c r="AP107" s="3">
        <f t="shared" si="73"/>
        <v>0.25094102885821834</v>
      </c>
      <c r="AQ107">
        <v>12</v>
      </c>
      <c r="AR107" s="3">
        <f t="shared" si="74"/>
        <v>1.5056461731493098</v>
      </c>
      <c r="AS107">
        <v>17</v>
      </c>
      <c r="AT107" s="3">
        <f t="shared" si="75"/>
        <v>2.1329987452948558</v>
      </c>
      <c r="AU107">
        <v>0</v>
      </c>
      <c r="AV107" s="3">
        <f t="shared" si="76"/>
        <v>0</v>
      </c>
      <c r="AW107">
        <v>8</v>
      </c>
      <c r="AX107" s="3">
        <f t="shared" si="77"/>
        <v>1.0037641154328734</v>
      </c>
      <c r="AY107">
        <v>13</v>
      </c>
      <c r="AZ107" s="3">
        <f t="shared" si="78"/>
        <v>1.6311166875784191</v>
      </c>
      <c r="BA107">
        <v>34</v>
      </c>
      <c r="BB107" s="3">
        <f t="shared" si="79"/>
        <v>4.2659974905897116</v>
      </c>
      <c r="BC107" t="s">
        <v>315</v>
      </c>
      <c r="BD107" s="72">
        <v>2017</v>
      </c>
      <c r="BE107" s="1"/>
      <c r="BF107"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87.097902097902136</v>
      </c>
      <c r="BG107" s="10">
        <f>2*(Дума_партии[[#This Row],[5. Всероссийская политическая партия "ЕДИНАЯ РОССИЯ"]]-(AB$203/100)*Дума_партии[[#This Row],[Число действительных избирательных бюллетеней]])</f>
        <v>124.55000000000001</v>
      </c>
      <c r="BH107" s="10">
        <f>(Дума_партии[[#This Row],[Вброс]]+Дума_партии[[#This Row],[Перекладывание]])/2</f>
        <v>105.82395104895107</v>
      </c>
    </row>
    <row r="108" spans="1:60" x14ac:dyDescent="0.4">
      <c r="A108" t="s">
        <v>49</v>
      </c>
      <c r="B108" t="s">
        <v>50</v>
      </c>
      <c r="C108" t="s">
        <v>51</v>
      </c>
      <c r="D108" t="s">
        <v>227</v>
      </c>
      <c r="E108" t="s">
        <v>237</v>
      </c>
      <c r="F108" s="8">
        <f t="shared" ca="1" si="60"/>
        <v>1960</v>
      </c>
      <c r="G108" t="s">
        <v>349</v>
      </c>
      <c r="H108" s="1" t="str">
        <f>LEFT(Дума_партии[[#This Row],[tik]],4)&amp;"."&amp;IF(ISNUMBER(VALUE(RIGHT(Дума_партии[[#This Row],[tik]]))),RIGHT(Дума_партии[[#This Row],[tik]]),"")</f>
        <v>Один.2</v>
      </c>
      <c r="I108">
        <v>1130</v>
      </c>
      <c r="J108" s="8">
        <f>Дума_партии[[#This Row],[Число избирателей, внесенных в список избирателей на момент окончания голосования]]</f>
        <v>1130</v>
      </c>
      <c r="K108">
        <v>1000</v>
      </c>
      <c r="L108">
        <v>0</v>
      </c>
      <c r="M108">
        <v>425</v>
      </c>
      <c r="N108">
        <v>6</v>
      </c>
      <c r="O108" s="3">
        <f t="shared" si="61"/>
        <v>38.141592920353979</v>
      </c>
      <c r="P108" s="3">
        <f t="shared" si="62"/>
        <v>0.53097345132743368</v>
      </c>
      <c r="Q108">
        <v>569</v>
      </c>
      <c r="R108">
        <v>6</v>
      </c>
      <c r="S108">
        <v>425</v>
      </c>
      <c r="T108" s="1">
        <f t="shared" si="63"/>
        <v>431</v>
      </c>
      <c r="U108" s="3">
        <f t="shared" si="64"/>
        <v>1.3921113689095128</v>
      </c>
      <c r="V108">
        <v>13</v>
      </c>
      <c r="W108" s="3">
        <f t="shared" si="65"/>
        <v>3.0162412993039442</v>
      </c>
      <c r="X108">
        <v>418</v>
      </c>
      <c r="Y108">
        <v>0</v>
      </c>
      <c r="Z108">
        <v>0</v>
      </c>
      <c r="AA108">
        <v>139</v>
      </c>
      <c r="AB108" s="3">
        <f t="shared" si="66"/>
        <v>32.250580046403712</v>
      </c>
      <c r="AC108">
        <v>5</v>
      </c>
      <c r="AD108" s="3">
        <f t="shared" si="67"/>
        <v>1.160092807424594</v>
      </c>
      <c r="AE108">
        <v>33</v>
      </c>
      <c r="AF108" s="3">
        <f t="shared" si="68"/>
        <v>7.6566125290023201</v>
      </c>
      <c r="AG108">
        <v>41</v>
      </c>
      <c r="AH108" s="3">
        <f t="shared" si="69"/>
        <v>9.5127610208816709</v>
      </c>
      <c r="AI108">
        <v>129</v>
      </c>
      <c r="AJ108" s="3">
        <f t="shared" si="70"/>
        <v>29.930394431554525</v>
      </c>
      <c r="AK108">
        <v>30</v>
      </c>
      <c r="AL108" s="3">
        <f t="shared" si="71"/>
        <v>6.9605568445475638</v>
      </c>
      <c r="AM108">
        <v>8</v>
      </c>
      <c r="AN108" s="3">
        <f t="shared" si="72"/>
        <v>1.8561484918793503</v>
      </c>
      <c r="AO108">
        <v>6</v>
      </c>
      <c r="AP108" s="3">
        <f t="shared" si="73"/>
        <v>1.3921113689095128</v>
      </c>
      <c r="AQ108">
        <v>1</v>
      </c>
      <c r="AR108" s="3">
        <f t="shared" si="74"/>
        <v>0.23201856148491878</v>
      </c>
      <c r="AS108">
        <v>7</v>
      </c>
      <c r="AT108" s="3">
        <f t="shared" si="75"/>
        <v>1.6241299303944317</v>
      </c>
      <c r="AU108">
        <v>0</v>
      </c>
      <c r="AV108" s="3">
        <f t="shared" si="76"/>
        <v>0</v>
      </c>
      <c r="AW108">
        <v>2</v>
      </c>
      <c r="AX108" s="3">
        <f t="shared" si="77"/>
        <v>0.46403712296983757</v>
      </c>
      <c r="AY108">
        <v>3</v>
      </c>
      <c r="AZ108" s="3">
        <f t="shared" si="78"/>
        <v>0.69605568445475641</v>
      </c>
      <c r="BA108">
        <v>14</v>
      </c>
      <c r="BB108" s="3">
        <f t="shared" si="79"/>
        <v>3.2482598607888633</v>
      </c>
      <c r="BC108" t="s">
        <v>315</v>
      </c>
      <c r="BD108" s="72">
        <v>2017</v>
      </c>
      <c r="BE108" s="1"/>
      <c r="BF108"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13.804195804195828</v>
      </c>
      <c r="BG108" s="10">
        <f>2*(Дума_партии[[#This Row],[5. Всероссийская политическая партия "ЕДИНАЯ РОССИЯ"]]-(AB$203/100)*Дума_партии[[#This Row],[Число действительных избирательных бюллетеней]])</f>
        <v>19.740000000000009</v>
      </c>
      <c r="BH108" s="10">
        <f>(Дума_партии[[#This Row],[Вброс]]+Дума_партии[[#This Row],[Перекладывание]])/2</f>
        <v>16.772097902097919</v>
      </c>
    </row>
    <row r="109" spans="1:60" x14ac:dyDescent="0.4">
      <c r="A109" t="s">
        <v>49</v>
      </c>
      <c r="B109" t="s">
        <v>50</v>
      </c>
      <c r="C109" t="s">
        <v>51</v>
      </c>
      <c r="D109" t="s">
        <v>227</v>
      </c>
      <c r="E109" t="s">
        <v>238</v>
      </c>
      <c r="F109" s="8">
        <f t="shared" ca="1" si="60"/>
        <v>1963</v>
      </c>
      <c r="G109" t="s">
        <v>349</v>
      </c>
      <c r="H109" s="1" t="str">
        <f>LEFT(Дума_партии[[#This Row],[tik]],4)&amp;"."&amp;IF(ISNUMBER(VALUE(RIGHT(Дума_партии[[#This Row],[tik]]))),RIGHT(Дума_партии[[#This Row],[tik]]),"")</f>
        <v>Один.2</v>
      </c>
      <c r="I109">
        <v>2320</v>
      </c>
      <c r="J109" s="8">
        <f>Дума_партии[[#This Row],[Число избирателей, внесенных в список избирателей на момент окончания голосования]]</f>
        <v>2320</v>
      </c>
      <c r="K109">
        <v>2000</v>
      </c>
      <c r="L109">
        <v>0</v>
      </c>
      <c r="M109">
        <v>787</v>
      </c>
      <c r="N109">
        <v>48</v>
      </c>
      <c r="O109" s="3">
        <f t="shared" si="61"/>
        <v>35.991379310344826</v>
      </c>
      <c r="P109" s="3">
        <f t="shared" si="62"/>
        <v>2.0689655172413794</v>
      </c>
      <c r="Q109">
        <v>1165</v>
      </c>
      <c r="R109">
        <v>48</v>
      </c>
      <c r="S109">
        <v>787</v>
      </c>
      <c r="T109" s="1">
        <f t="shared" si="63"/>
        <v>835</v>
      </c>
      <c r="U109" s="3">
        <f t="shared" si="64"/>
        <v>5.7485029940119761</v>
      </c>
      <c r="V109">
        <v>22</v>
      </c>
      <c r="W109" s="3">
        <f t="shared" si="65"/>
        <v>2.6347305389221556</v>
      </c>
      <c r="X109">
        <v>813</v>
      </c>
      <c r="Y109">
        <v>0</v>
      </c>
      <c r="Z109">
        <v>0</v>
      </c>
      <c r="AA109">
        <v>238</v>
      </c>
      <c r="AB109" s="3">
        <f t="shared" si="66"/>
        <v>28.50299401197605</v>
      </c>
      <c r="AC109">
        <v>15</v>
      </c>
      <c r="AD109" s="3">
        <f t="shared" si="67"/>
        <v>1.7964071856287425</v>
      </c>
      <c r="AE109">
        <v>75</v>
      </c>
      <c r="AF109" s="3">
        <f t="shared" si="68"/>
        <v>8.9820359281437128</v>
      </c>
      <c r="AG109">
        <v>83</v>
      </c>
      <c r="AH109" s="3">
        <f t="shared" si="69"/>
        <v>9.9401197604790426</v>
      </c>
      <c r="AI109">
        <v>233</v>
      </c>
      <c r="AJ109" s="3">
        <f t="shared" si="70"/>
        <v>27.904191616766468</v>
      </c>
      <c r="AK109">
        <v>73</v>
      </c>
      <c r="AL109" s="3">
        <f t="shared" si="71"/>
        <v>8.7425149700598794</v>
      </c>
      <c r="AM109">
        <v>25</v>
      </c>
      <c r="AN109" s="3">
        <f t="shared" si="72"/>
        <v>2.9940119760479043</v>
      </c>
      <c r="AO109">
        <v>3</v>
      </c>
      <c r="AP109" s="3">
        <f t="shared" si="73"/>
        <v>0.3592814371257485</v>
      </c>
      <c r="AQ109">
        <v>11</v>
      </c>
      <c r="AR109" s="3">
        <f t="shared" si="74"/>
        <v>1.3173652694610778</v>
      </c>
      <c r="AS109">
        <v>9</v>
      </c>
      <c r="AT109" s="3">
        <f t="shared" si="75"/>
        <v>1.0778443113772456</v>
      </c>
      <c r="AU109">
        <v>1</v>
      </c>
      <c r="AV109" s="3">
        <f t="shared" si="76"/>
        <v>0.11976047904191617</v>
      </c>
      <c r="AW109">
        <v>9</v>
      </c>
      <c r="AX109" s="3">
        <f t="shared" si="77"/>
        <v>1.0778443113772456</v>
      </c>
      <c r="AY109">
        <v>13</v>
      </c>
      <c r="AZ109" s="3">
        <f t="shared" si="78"/>
        <v>1.5568862275449102</v>
      </c>
      <c r="BA109">
        <v>25</v>
      </c>
      <c r="BB109" s="3">
        <f t="shared" si="79"/>
        <v>2.9940119760479043</v>
      </c>
      <c r="BC109" t="s">
        <v>315</v>
      </c>
      <c r="BD109" s="72">
        <v>2017</v>
      </c>
      <c r="BE109" s="1">
        <v>1</v>
      </c>
      <c r="BF109"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1.8111888111888561</v>
      </c>
      <c r="BG109" s="10">
        <f>2*(Дума_партии[[#This Row],[5. Всероссийская политическая партия "ЕДИНАЯ РОССИЯ"]]-(AB$203/100)*Дума_партии[[#This Row],[Число действительных избирательных бюллетеней]])</f>
        <v>2.5900000000000318</v>
      </c>
      <c r="BH109" s="10">
        <f>(Дума_партии[[#This Row],[Вброс]]+Дума_партии[[#This Row],[Перекладывание]])/2</f>
        <v>2.200594405594444</v>
      </c>
    </row>
    <row r="110" spans="1:60" x14ac:dyDescent="0.4">
      <c r="A110" t="s">
        <v>49</v>
      </c>
      <c r="B110" t="s">
        <v>50</v>
      </c>
      <c r="C110" t="s">
        <v>51</v>
      </c>
      <c r="D110" t="s">
        <v>227</v>
      </c>
      <c r="E110" t="s">
        <v>239</v>
      </c>
      <c r="F110" s="8">
        <f t="shared" ca="1" si="60"/>
        <v>1964</v>
      </c>
      <c r="G110" t="s">
        <v>349</v>
      </c>
      <c r="H110" s="1" t="str">
        <f>LEFT(Дума_партии[[#This Row],[tik]],4)&amp;"."&amp;IF(ISNUMBER(VALUE(RIGHT(Дума_партии[[#This Row],[tik]]))),RIGHT(Дума_партии[[#This Row],[tik]]),"")</f>
        <v>Один.2</v>
      </c>
      <c r="I110">
        <v>1279</v>
      </c>
      <c r="J110" s="8">
        <f>Дума_партии[[#This Row],[Число избирателей, внесенных в список избирателей на момент окончания голосования]]</f>
        <v>1279</v>
      </c>
      <c r="K110">
        <v>1000</v>
      </c>
      <c r="L110">
        <v>0</v>
      </c>
      <c r="M110">
        <v>468</v>
      </c>
      <c r="N110">
        <v>54</v>
      </c>
      <c r="O110" s="3">
        <f t="shared" si="61"/>
        <v>40.813135261923378</v>
      </c>
      <c r="P110" s="3">
        <f t="shared" si="62"/>
        <v>4.2220484753713841</v>
      </c>
      <c r="Q110">
        <v>478</v>
      </c>
      <c r="R110">
        <v>54</v>
      </c>
      <c r="S110">
        <v>461</v>
      </c>
      <c r="T110" s="1">
        <f t="shared" si="63"/>
        <v>515</v>
      </c>
      <c r="U110" s="3">
        <f t="shared" si="64"/>
        <v>10.485436893203884</v>
      </c>
      <c r="V110">
        <v>18</v>
      </c>
      <c r="W110" s="3">
        <f t="shared" si="65"/>
        <v>3.4951456310679609</v>
      </c>
      <c r="X110">
        <v>497</v>
      </c>
      <c r="Y110">
        <v>0</v>
      </c>
      <c r="Z110">
        <v>0</v>
      </c>
      <c r="AA110">
        <v>125</v>
      </c>
      <c r="AB110" s="3">
        <f t="shared" si="66"/>
        <v>24.271844660194176</v>
      </c>
      <c r="AC110">
        <v>7</v>
      </c>
      <c r="AD110" s="3">
        <f t="shared" si="67"/>
        <v>1.3592233009708738</v>
      </c>
      <c r="AE110">
        <v>39</v>
      </c>
      <c r="AF110" s="3">
        <f t="shared" si="68"/>
        <v>7.5728155339805827</v>
      </c>
      <c r="AG110">
        <v>39</v>
      </c>
      <c r="AH110" s="3">
        <f t="shared" si="69"/>
        <v>7.5728155339805827</v>
      </c>
      <c r="AI110">
        <v>184</v>
      </c>
      <c r="AJ110" s="3">
        <f t="shared" si="70"/>
        <v>35.728155339805824</v>
      </c>
      <c r="AK110">
        <v>41</v>
      </c>
      <c r="AL110" s="3">
        <f t="shared" si="71"/>
        <v>7.9611650485436893</v>
      </c>
      <c r="AM110">
        <v>13</v>
      </c>
      <c r="AN110" s="3">
        <f t="shared" si="72"/>
        <v>2.5242718446601944</v>
      </c>
      <c r="AO110">
        <v>2</v>
      </c>
      <c r="AP110" s="3">
        <f t="shared" si="73"/>
        <v>0.38834951456310679</v>
      </c>
      <c r="AQ110">
        <v>5</v>
      </c>
      <c r="AR110" s="3">
        <f t="shared" si="74"/>
        <v>0.970873786407767</v>
      </c>
      <c r="AS110">
        <v>6</v>
      </c>
      <c r="AT110" s="3">
        <f t="shared" si="75"/>
        <v>1.1650485436893203</v>
      </c>
      <c r="AU110">
        <v>0</v>
      </c>
      <c r="AV110" s="3">
        <f t="shared" si="76"/>
        <v>0</v>
      </c>
      <c r="AW110">
        <v>7</v>
      </c>
      <c r="AX110" s="3">
        <f t="shared" si="77"/>
        <v>1.3592233009708738</v>
      </c>
      <c r="AY110">
        <v>12</v>
      </c>
      <c r="AZ110" s="3">
        <f t="shared" si="78"/>
        <v>2.3300970873786406</v>
      </c>
      <c r="BA110">
        <v>17</v>
      </c>
      <c r="BB110" s="3">
        <f t="shared" si="79"/>
        <v>3.3009708737864076</v>
      </c>
      <c r="BC110" t="s">
        <v>315</v>
      </c>
      <c r="BD110" s="72">
        <v>2017</v>
      </c>
      <c r="BE110" s="1"/>
      <c r="BF110"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59.237762237762254</v>
      </c>
      <c r="BG110" s="10">
        <f>2*(Дума_партии[[#This Row],[5. Всероссийская политическая партия "ЕДИНАЯ РОССИЯ"]]-(AB$203/100)*Дума_партии[[#This Row],[Число действительных избирательных бюллетеней]])</f>
        <v>84.710000000000036</v>
      </c>
      <c r="BH110" s="10">
        <f>(Дума_партии[[#This Row],[Вброс]]+Дума_партии[[#This Row],[Перекладывание]])/2</f>
        <v>71.973881118881138</v>
      </c>
    </row>
    <row r="111" spans="1:60" x14ac:dyDescent="0.4">
      <c r="A111" t="s">
        <v>49</v>
      </c>
      <c r="B111" t="s">
        <v>50</v>
      </c>
      <c r="C111" t="s">
        <v>51</v>
      </c>
      <c r="D111" t="s">
        <v>227</v>
      </c>
      <c r="E111" t="s">
        <v>240</v>
      </c>
      <c r="F111" s="8">
        <f t="shared" ca="1" si="60"/>
        <v>1965</v>
      </c>
      <c r="G111" t="s">
        <v>349</v>
      </c>
      <c r="H111" s="1" t="str">
        <f>LEFT(Дума_партии[[#This Row],[tik]],4)&amp;"."&amp;IF(ISNUMBER(VALUE(RIGHT(Дума_партии[[#This Row],[tik]]))),RIGHT(Дума_партии[[#This Row],[tik]]),"")</f>
        <v>Один.2</v>
      </c>
      <c r="I111">
        <v>1265</v>
      </c>
      <c r="J111" s="8">
        <f>Дума_партии[[#This Row],[Число избирателей, внесенных в список избирателей на момент окончания голосования]]</f>
        <v>1265</v>
      </c>
      <c r="K111">
        <v>1000</v>
      </c>
      <c r="L111">
        <v>0</v>
      </c>
      <c r="M111">
        <v>473</v>
      </c>
      <c r="N111">
        <v>5</v>
      </c>
      <c r="O111" s="3">
        <f t="shared" si="61"/>
        <v>37.786561264822133</v>
      </c>
      <c r="P111" s="3">
        <f t="shared" si="62"/>
        <v>0.39525691699604742</v>
      </c>
      <c r="Q111">
        <v>522</v>
      </c>
      <c r="R111">
        <v>5</v>
      </c>
      <c r="S111">
        <v>473</v>
      </c>
      <c r="T111" s="1">
        <f t="shared" si="63"/>
        <v>478</v>
      </c>
      <c r="U111" s="3">
        <f t="shared" si="64"/>
        <v>1.0460251046025104</v>
      </c>
      <c r="V111">
        <v>11</v>
      </c>
      <c r="W111" s="3">
        <f t="shared" si="65"/>
        <v>2.3012552301255229</v>
      </c>
      <c r="X111">
        <v>467</v>
      </c>
      <c r="Y111">
        <v>0</v>
      </c>
      <c r="Z111">
        <v>0</v>
      </c>
      <c r="AA111">
        <v>126</v>
      </c>
      <c r="AB111" s="3">
        <f t="shared" si="66"/>
        <v>26.359832635983263</v>
      </c>
      <c r="AC111">
        <v>5</v>
      </c>
      <c r="AD111" s="3">
        <f t="shared" si="67"/>
        <v>1.0460251046025104</v>
      </c>
      <c r="AE111">
        <v>33</v>
      </c>
      <c r="AF111" s="3">
        <f t="shared" si="68"/>
        <v>6.9037656903765692</v>
      </c>
      <c r="AG111">
        <v>35</v>
      </c>
      <c r="AH111" s="3">
        <f t="shared" si="69"/>
        <v>7.3221757322175733</v>
      </c>
      <c r="AI111">
        <v>136</v>
      </c>
      <c r="AJ111" s="3">
        <f t="shared" si="70"/>
        <v>28.451882845188283</v>
      </c>
      <c r="AK111">
        <v>48</v>
      </c>
      <c r="AL111" s="3">
        <f t="shared" si="71"/>
        <v>10.0418410041841</v>
      </c>
      <c r="AM111">
        <v>12</v>
      </c>
      <c r="AN111" s="3">
        <f t="shared" si="72"/>
        <v>2.510460251046025</v>
      </c>
      <c r="AO111">
        <v>7</v>
      </c>
      <c r="AP111" s="3">
        <f t="shared" si="73"/>
        <v>1.4644351464435146</v>
      </c>
      <c r="AQ111">
        <v>10</v>
      </c>
      <c r="AR111" s="3">
        <f t="shared" si="74"/>
        <v>2.0920502092050208</v>
      </c>
      <c r="AS111">
        <v>15</v>
      </c>
      <c r="AT111" s="3">
        <f t="shared" si="75"/>
        <v>3.1380753138075312</v>
      </c>
      <c r="AU111">
        <v>3</v>
      </c>
      <c r="AV111" s="3">
        <f t="shared" si="76"/>
        <v>0.62761506276150625</v>
      </c>
      <c r="AW111">
        <v>9</v>
      </c>
      <c r="AX111" s="3">
        <f t="shared" si="77"/>
        <v>1.8828451882845187</v>
      </c>
      <c r="AY111">
        <v>7</v>
      </c>
      <c r="AZ111" s="3">
        <f t="shared" si="78"/>
        <v>1.4644351464435146</v>
      </c>
      <c r="BA111">
        <v>21</v>
      </c>
      <c r="BB111" s="3">
        <f t="shared" si="79"/>
        <v>4.3933054393305442</v>
      </c>
      <c r="BC111" t="s">
        <v>315</v>
      </c>
      <c r="BD111" s="72">
        <v>2017</v>
      </c>
      <c r="BE111" s="1"/>
      <c r="BF111"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4.0629370629370953</v>
      </c>
      <c r="BG111" s="10">
        <f>2*(Дума_партии[[#This Row],[5. Всероссийская политическая партия "ЕДИНАЯ РОССИЯ"]]-(AB$203/100)*Дума_партии[[#This Row],[Число действительных избирательных бюллетеней]])</f>
        <v>5.8100000000000023</v>
      </c>
      <c r="BH111" s="10">
        <f>(Дума_партии[[#This Row],[Вброс]]+Дума_партии[[#This Row],[Перекладывание]])/2</f>
        <v>4.9364685314685488</v>
      </c>
    </row>
    <row r="112" spans="1:60" x14ac:dyDescent="0.4">
      <c r="A112" t="s">
        <v>49</v>
      </c>
      <c r="B112" t="s">
        <v>50</v>
      </c>
      <c r="C112" t="s">
        <v>51</v>
      </c>
      <c r="D112" t="s">
        <v>227</v>
      </c>
      <c r="E112" t="s">
        <v>241</v>
      </c>
      <c r="F112" s="8">
        <f t="shared" ca="1" si="60"/>
        <v>1966</v>
      </c>
      <c r="G112" t="s">
        <v>349</v>
      </c>
      <c r="H112" s="1" t="str">
        <f>LEFT(Дума_партии[[#This Row],[tik]],4)&amp;"."&amp;IF(ISNUMBER(VALUE(RIGHT(Дума_партии[[#This Row],[tik]]))),RIGHT(Дума_партии[[#This Row],[tik]]),"")</f>
        <v>Один.2</v>
      </c>
      <c r="I112">
        <v>1805</v>
      </c>
      <c r="J112" s="8">
        <f>Дума_партии[[#This Row],[Число избирателей, внесенных в список избирателей на момент окончания голосования]]</f>
        <v>1805</v>
      </c>
      <c r="K112">
        <v>1500</v>
      </c>
      <c r="L112">
        <v>0</v>
      </c>
      <c r="M112">
        <v>736</v>
      </c>
      <c r="N112">
        <v>34</v>
      </c>
      <c r="O112" s="3">
        <f t="shared" si="61"/>
        <v>42.659279778393355</v>
      </c>
      <c r="P112" s="3">
        <f t="shared" si="62"/>
        <v>1.8836565096952909</v>
      </c>
      <c r="Q112">
        <v>730</v>
      </c>
      <c r="R112">
        <v>34</v>
      </c>
      <c r="S112">
        <v>709</v>
      </c>
      <c r="T112" s="1">
        <f t="shared" si="63"/>
        <v>743</v>
      </c>
      <c r="U112" s="3">
        <f t="shared" si="64"/>
        <v>4.5760430686406464</v>
      </c>
      <c r="V112">
        <v>12</v>
      </c>
      <c r="W112" s="3">
        <f t="shared" si="65"/>
        <v>1.6150740242261103</v>
      </c>
      <c r="X112">
        <v>731</v>
      </c>
      <c r="Y112">
        <v>0</v>
      </c>
      <c r="Z112">
        <v>0</v>
      </c>
      <c r="AA112">
        <v>188</v>
      </c>
      <c r="AB112" s="3">
        <f t="shared" si="66"/>
        <v>25.302826379542395</v>
      </c>
      <c r="AC112">
        <v>20</v>
      </c>
      <c r="AD112" s="3">
        <f t="shared" si="67"/>
        <v>2.6917900403768504</v>
      </c>
      <c r="AE112">
        <v>60</v>
      </c>
      <c r="AF112" s="3">
        <f t="shared" si="68"/>
        <v>8.0753701211305522</v>
      </c>
      <c r="AG112">
        <v>79</v>
      </c>
      <c r="AH112" s="3">
        <f t="shared" si="69"/>
        <v>10.632570659488559</v>
      </c>
      <c r="AI112">
        <v>248</v>
      </c>
      <c r="AJ112" s="3">
        <f t="shared" si="70"/>
        <v>33.378196500672949</v>
      </c>
      <c r="AK112">
        <v>63</v>
      </c>
      <c r="AL112" s="3">
        <f t="shared" si="71"/>
        <v>8.4791386271870799</v>
      </c>
      <c r="AM112">
        <v>10</v>
      </c>
      <c r="AN112" s="3">
        <f t="shared" si="72"/>
        <v>1.3458950201884252</v>
      </c>
      <c r="AO112">
        <v>5</v>
      </c>
      <c r="AP112" s="3">
        <f t="shared" si="73"/>
        <v>0.67294751009421261</v>
      </c>
      <c r="AQ112">
        <v>13</v>
      </c>
      <c r="AR112" s="3">
        <f t="shared" si="74"/>
        <v>1.7496635262449529</v>
      </c>
      <c r="AS112">
        <v>10</v>
      </c>
      <c r="AT112" s="3">
        <f t="shared" si="75"/>
        <v>1.3458950201884252</v>
      </c>
      <c r="AU112">
        <v>0</v>
      </c>
      <c r="AV112" s="3">
        <f t="shared" si="76"/>
        <v>0</v>
      </c>
      <c r="AW112">
        <v>9</v>
      </c>
      <c r="AX112" s="3">
        <f t="shared" si="77"/>
        <v>1.2113055181695829</v>
      </c>
      <c r="AY112">
        <v>10</v>
      </c>
      <c r="AZ112" s="3">
        <f t="shared" si="78"/>
        <v>1.3458950201884252</v>
      </c>
      <c r="BA112">
        <v>16</v>
      </c>
      <c r="BB112" s="3">
        <f t="shared" si="79"/>
        <v>2.1534320323014806</v>
      </c>
      <c r="BC112" t="s">
        <v>315</v>
      </c>
      <c r="BD112" s="72">
        <v>2017</v>
      </c>
      <c r="BE112" s="1"/>
      <c r="BF112"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55.475524475524509</v>
      </c>
      <c r="BG112" s="10">
        <f>2*(Дума_партии[[#This Row],[5. Всероссийская политическая партия "ЕДИНАЯ РОССИЯ"]]-(AB$203/100)*Дума_партии[[#This Row],[Число действительных избирательных бюллетеней]])</f>
        <v>79.330000000000041</v>
      </c>
      <c r="BH112" s="10">
        <f>(Дума_партии[[#This Row],[Вброс]]+Дума_партии[[#This Row],[Перекладывание]])/2</f>
        <v>67.402762237762275</v>
      </c>
    </row>
    <row r="113" spans="1:60" x14ac:dyDescent="0.4">
      <c r="A113" t="s">
        <v>49</v>
      </c>
      <c r="B113" t="s">
        <v>50</v>
      </c>
      <c r="C113" t="s">
        <v>51</v>
      </c>
      <c r="D113" t="s">
        <v>227</v>
      </c>
      <c r="E113" t="s">
        <v>242</v>
      </c>
      <c r="F113" s="8">
        <f t="shared" ca="1" si="60"/>
        <v>1967</v>
      </c>
      <c r="G113" t="s">
        <v>349</v>
      </c>
      <c r="H113" s="1" t="str">
        <f>LEFT(Дума_партии[[#This Row],[tik]],4)&amp;"."&amp;IF(ISNUMBER(VALUE(RIGHT(Дума_партии[[#This Row],[tik]]))),RIGHT(Дума_партии[[#This Row],[tik]]),"")</f>
        <v>Один.2</v>
      </c>
      <c r="I113">
        <v>2569</v>
      </c>
      <c r="J113" s="8">
        <f>Дума_партии[[#This Row],[Число избирателей, внесенных в список избирателей на момент окончания голосования]]</f>
        <v>2569</v>
      </c>
      <c r="K113">
        <v>2000</v>
      </c>
      <c r="L113">
        <v>0</v>
      </c>
      <c r="M113">
        <v>961</v>
      </c>
      <c r="N113">
        <v>46</v>
      </c>
      <c r="O113" s="3">
        <f t="shared" si="61"/>
        <v>39.198131568703779</v>
      </c>
      <c r="P113" s="3">
        <f t="shared" si="62"/>
        <v>1.7905799922148695</v>
      </c>
      <c r="Q113">
        <v>993</v>
      </c>
      <c r="R113">
        <v>46</v>
      </c>
      <c r="S113">
        <v>919</v>
      </c>
      <c r="T113" s="1">
        <f t="shared" si="63"/>
        <v>965</v>
      </c>
      <c r="U113" s="3">
        <f t="shared" si="64"/>
        <v>4.766839378238342</v>
      </c>
      <c r="V113">
        <v>14</v>
      </c>
      <c r="W113" s="3">
        <f t="shared" si="65"/>
        <v>1.4507772020725389</v>
      </c>
      <c r="X113">
        <v>951</v>
      </c>
      <c r="Y113">
        <v>0</v>
      </c>
      <c r="Z113">
        <v>0</v>
      </c>
      <c r="AA113">
        <v>238</v>
      </c>
      <c r="AB113" s="3">
        <f t="shared" si="66"/>
        <v>24.663212435233159</v>
      </c>
      <c r="AC113">
        <v>21</v>
      </c>
      <c r="AD113" s="3">
        <f t="shared" si="67"/>
        <v>2.1761658031088085</v>
      </c>
      <c r="AE113">
        <v>57</v>
      </c>
      <c r="AF113" s="3">
        <f t="shared" si="68"/>
        <v>5.9067357512953365</v>
      </c>
      <c r="AG113">
        <v>77</v>
      </c>
      <c r="AH113" s="3">
        <f t="shared" si="69"/>
        <v>7.9792746113989637</v>
      </c>
      <c r="AI113">
        <v>332</v>
      </c>
      <c r="AJ113" s="3">
        <f t="shared" si="70"/>
        <v>34.404145077720209</v>
      </c>
      <c r="AK113">
        <v>94</v>
      </c>
      <c r="AL113" s="3">
        <f t="shared" si="71"/>
        <v>9.7409326424870475</v>
      </c>
      <c r="AM113">
        <v>31</v>
      </c>
      <c r="AN113" s="3">
        <f t="shared" si="72"/>
        <v>3.2124352331606216</v>
      </c>
      <c r="AO113">
        <v>11</v>
      </c>
      <c r="AP113" s="3">
        <f t="shared" si="73"/>
        <v>1.1398963730569949</v>
      </c>
      <c r="AQ113">
        <v>21</v>
      </c>
      <c r="AR113" s="3">
        <f t="shared" si="74"/>
        <v>2.1761658031088085</v>
      </c>
      <c r="AS113">
        <v>19</v>
      </c>
      <c r="AT113" s="3">
        <f t="shared" si="75"/>
        <v>1.9689119170984455</v>
      </c>
      <c r="AU113">
        <v>0</v>
      </c>
      <c r="AV113" s="3">
        <f t="shared" si="76"/>
        <v>0</v>
      </c>
      <c r="AW113">
        <v>8</v>
      </c>
      <c r="AX113" s="3">
        <f t="shared" si="77"/>
        <v>0.82901554404145072</v>
      </c>
      <c r="AY113">
        <v>14</v>
      </c>
      <c r="AZ113" s="3">
        <f t="shared" si="78"/>
        <v>1.4507772020725389</v>
      </c>
      <c r="BA113">
        <v>28</v>
      </c>
      <c r="BB113" s="3">
        <f t="shared" si="79"/>
        <v>2.9015544041450778</v>
      </c>
      <c r="BC113" t="s">
        <v>315</v>
      </c>
      <c r="BD113" s="72">
        <v>2017</v>
      </c>
      <c r="BE113" s="1"/>
      <c r="BF113"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85.265734265734295</v>
      </c>
      <c r="BG113" s="10">
        <f>2*(Дума_партии[[#This Row],[5. Всероссийская политическая партия "ЕДИНАЯ РОССИЯ"]]-(AB$203/100)*Дума_партии[[#This Row],[Число действительных избирательных бюллетеней]])</f>
        <v>121.93000000000006</v>
      </c>
      <c r="BH113" s="10">
        <f>(Дума_партии[[#This Row],[Вброс]]+Дума_партии[[#This Row],[Перекладывание]])/2</f>
        <v>103.59786713286718</v>
      </c>
    </row>
    <row r="114" spans="1:60" x14ac:dyDescent="0.4">
      <c r="A114" t="s">
        <v>49</v>
      </c>
      <c r="B114" t="s">
        <v>50</v>
      </c>
      <c r="C114" t="s">
        <v>51</v>
      </c>
      <c r="D114" t="s">
        <v>227</v>
      </c>
      <c r="E114" t="s">
        <v>243</v>
      </c>
      <c r="F114" s="8">
        <f t="shared" ca="1" si="60"/>
        <v>1968</v>
      </c>
      <c r="G114" t="s">
        <v>349</v>
      </c>
      <c r="H114" s="1" t="str">
        <f>LEFT(Дума_партии[[#This Row],[tik]],4)&amp;"."&amp;IF(ISNUMBER(VALUE(RIGHT(Дума_партии[[#This Row],[tik]]))),RIGHT(Дума_партии[[#This Row],[tik]]),"")</f>
        <v>Один.2</v>
      </c>
      <c r="I114">
        <v>1222</v>
      </c>
      <c r="J114" s="8">
        <f>Дума_партии[[#This Row],[Число избирателей, внесенных в список избирателей на момент окончания голосования]]</f>
        <v>1222</v>
      </c>
      <c r="K114">
        <v>1000</v>
      </c>
      <c r="L114">
        <v>0</v>
      </c>
      <c r="M114">
        <v>464</v>
      </c>
      <c r="N114">
        <v>16</v>
      </c>
      <c r="O114" s="3">
        <f t="shared" si="61"/>
        <v>39.279869067103107</v>
      </c>
      <c r="P114" s="3">
        <f t="shared" si="62"/>
        <v>1.3093289689034371</v>
      </c>
      <c r="Q114">
        <v>520</v>
      </c>
      <c r="R114">
        <v>16</v>
      </c>
      <c r="S114">
        <v>464</v>
      </c>
      <c r="T114" s="1">
        <f t="shared" si="63"/>
        <v>480</v>
      </c>
      <c r="U114" s="3">
        <f t="shared" si="64"/>
        <v>3.3333333333333335</v>
      </c>
      <c r="V114">
        <v>12</v>
      </c>
      <c r="W114" s="3">
        <f t="shared" si="65"/>
        <v>2.5</v>
      </c>
      <c r="X114">
        <v>468</v>
      </c>
      <c r="Y114">
        <v>0</v>
      </c>
      <c r="Z114">
        <v>0</v>
      </c>
      <c r="AA114">
        <v>150</v>
      </c>
      <c r="AB114" s="3">
        <f t="shared" si="66"/>
        <v>31.25</v>
      </c>
      <c r="AC114">
        <v>9</v>
      </c>
      <c r="AD114" s="3">
        <f t="shared" si="67"/>
        <v>1.875</v>
      </c>
      <c r="AE114">
        <v>26</v>
      </c>
      <c r="AF114" s="3">
        <f t="shared" si="68"/>
        <v>5.416666666666667</v>
      </c>
      <c r="AG114">
        <v>45</v>
      </c>
      <c r="AH114" s="3">
        <f t="shared" si="69"/>
        <v>9.375</v>
      </c>
      <c r="AI114">
        <v>116</v>
      </c>
      <c r="AJ114" s="3">
        <f t="shared" si="70"/>
        <v>24.166666666666668</v>
      </c>
      <c r="AK114">
        <v>56</v>
      </c>
      <c r="AL114" s="3">
        <f t="shared" si="71"/>
        <v>11.666666666666666</v>
      </c>
      <c r="AM114">
        <v>23</v>
      </c>
      <c r="AN114" s="3">
        <f t="shared" si="72"/>
        <v>4.791666666666667</v>
      </c>
      <c r="AO114">
        <v>2</v>
      </c>
      <c r="AP114" s="3">
        <f t="shared" si="73"/>
        <v>0.41666666666666669</v>
      </c>
      <c r="AQ114">
        <v>8</v>
      </c>
      <c r="AR114" s="3">
        <f t="shared" si="74"/>
        <v>1.6666666666666667</v>
      </c>
      <c r="AS114">
        <v>11</v>
      </c>
      <c r="AT114" s="3">
        <f t="shared" si="75"/>
        <v>2.2916666666666665</v>
      </c>
      <c r="AU114">
        <v>1</v>
      </c>
      <c r="AV114" s="3">
        <f t="shared" si="76"/>
        <v>0.20833333333333334</v>
      </c>
      <c r="AW114">
        <v>4</v>
      </c>
      <c r="AX114" s="3">
        <f t="shared" si="77"/>
        <v>0.83333333333333337</v>
      </c>
      <c r="AY114">
        <v>5</v>
      </c>
      <c r="AZ114" s="3">
        <f t="shared" si="78"/>
        <v>1.0416666666666667</v>
      </c>
      <c r="BA114">
        <v>12</v>
      </c>
      <c r="BB114" s="3">
        <f t="shared" si="79"/>
        <v>2.5</v>
      </c>
      <c r="BC114" t="s">
        <v>315</v>
      </c>
      <c r="BD114" s="72">
        <v>2017</v>
      </c>
      <c r="BE114" s="1">
        <v>1</v>
      </c>
      <c r="BF114"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-24.307692307692292</v>
      </c>
      <c r="BG114" s="10">
        <f>2*(Дума_партии[[#This Row],[5. Всероссийская политическая партия "ЕДИНАЯ РОССИЯ"]]-(AB$203/100)*Дума_партии[[#This Row],[Число действительных избирательных бюллетеней]])</f>
        <v>-34.759999999999991</v>
      </c>
      <c r="BH114" s="10">
        <f>(Дума_партии[[#This Row],[Вброс]]+Дума_партии[[#This Row],[Перекладывание]])/2</f>
        <v>-29.533846153846142</v>
      </c>
    </row>
    <row r="115" spans="1:60" x14ac:dyDescent="0.4">
      <c r="A115" t="s">
        <v>49</v>
      </c>
      <c r="B115" t="s">
        <v>50</v>
      </c>
      <c r="C115" t="s">
        <v>51</v>
      </c>
      <c r="D115" t="s">
        <v>227</v>
      </c>
      <c r="E115" t="s">
        <v>244</v>
      </c>
      <c r="F115" s="8">
        <f t="shared" ca="1" si="60"/>
        <v>1969</v>
      </c>
      <c r="G115" t="s">
        <v>349</v>
      </c>
      <c r="H115" s="1" t="str">
        <f>LEFT(Дума_партии[[#This Row],[tik]],4)&amp;"."&amp;IF(ISNUMBER(VALUE(RIGHT(Дума_партии[[#This Row],[tik]]))),RIGHT(Дума_партии[[#This Row],[tik]]),"")</f>
        <v>Один.2</v>
      </c>
      <c r="I115">
        <v>1451</v>
      </c>
      <c r="J115" s="8">
        <f>Дума_партии[[#This Row],[Число избирателей, внесенных в список избирателей на момент окончания голосования]]</f>
        <v>1451</v>
      </c>
      <c r="K115">
        <v>1200</v>
      </c>
      <c r="L115">
        <v>0</v>
      </c>
      <c r="M115">
        <v>551</v>
      </c>
      <c r="N115">
        <v>60</v>
      </c>
      <c r="O115" s="3">
        <f t="shared" si="61"/>
        <v>42.108890420399725</v>
      </c>
      <c r="P115" s="3">
        <f t="shared" si="62"/>
        <v>4.1350792556857341</v>
      </c>
      <c r="Q115">
        <v>589</v>
      </c>
      <c r="R115">
        <v>60</v>
      </c>
      <c r="S115">
        <v>551</v>
      </c>
      <c r="T115" s="1">
        <f t="shared" si="63"/>
        <v>611</v>
      </c>
      <c r="U115" s="3">
        <f t="shared" si="64"/>
        <v>9.8199672667757767</v>
      </c>
      <c r="V115">
        <v>10</v>
      </c>
      <c r="W115" s="3">
        <f t="shared" si="65"/>
        <v>1.6366612111292962</v>
      </c>
      <c r="X115">
        <v>601</v>
      </c>
      <c r="Y115">
        <v>0</v>
      </c>
      <c r="Z115">
        <v>0</v>
      </c>
      <c r="AA115">
        <v>123</v>
      </c>
      <c r="AB115" s="3">
        <f t="shared" si="66"/>
        <v>20.130932896890343</v>
      </c>
      <c r="AC115">
        <v>5</v>
      </c>
      <c r="AD115" s="3">
        <f t="shared" si="67"/>
        <v>0.81833060556464809</v>
      </c>
      <c r="AE115">
        <v>43</v>
      </c>
      <c r="AF115" s="3">
        <f t="shared" si="68"/>
        <v>7.0376432078559734</v>
      </c>
      <c r="AG115">
        <v>36</v>
      </c>
      <c r="AH115" s="3">
        <f t="shared" si="69"/>
        <v>5.8919803600654665</v>
      </c>
      <c r="AI115">
        <v>305</v>
      </c>
      <c r="AJ115" s="3">
        <f t="shared" si="70"/>
        <v>49.918166939443537</v>
      </c>
      <c r="AK115">
        <v>42</v>
      </c>
      <c r="AL115" s="3">
        <f t="shared" si="71"/>
        <v>6.8739770867430439</v>
      </c>
      <c r="AM115">
        <v>9</v>
      </c>
      <c r="AN115" s="3">
        <f t="shared" si="72"/>
        <v>1.4729950900163666</v>
      </c>
      <c r="AO115">
        <v>2</v>
      </c>
      <c r="AP115" s="3">
        <f t="shared" si="73"/>
        <v>0.32733224222585927</v>
      </c>
      <c r="AQ115">
        <v>3</v>
      </c>
      <c r="AR115" s="3">
        <f t="shared" si="74"/>
        <v>0.49099836333878888</v>
      </c>
      <c r="AS115">
        <v>6</v>
      </c>
      <c r="AT115" s="3">
        <f t="shared" si="75"/>
        <v>0.98199672667757776</v>
      </c>
      <c r="AU115">
        <v>10</v>
      </c>
      <c r="AV115" s="3">
        <f t="shared" si="76"/>
        <v>1.6366612111292962</v>
      </c>
      <c r="AW115">
        <v>3</v>
      </c>
      <c r="AX115" s="3">
        <f t="shared" si="77"/>
        <v>0.49099836333878888</v>
      </c>
      <c r="AY115">
        <v>2</v>
      </c>
      <c r="AZ115" s="3">
        <f t="shared" si="78"/>
        <v>0.32733224222585927</v>
      </c>
      <c r="BA115">
        <v>12</v>
      </c>
      <c r="BB115" s="3">
        <f t="shared" si="79"/>
        <v>1.9639934533551555</v>
      </c>
      <c r="BC115" t="s">
        <v>315</v>
      </c>
      <c r="BD115" s="72">
        <v>2017</v>
      </c>
      <c r="BE115" s="1"/>
      <c r="BF115"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187.01398601398603</v>
      </c>
      <c r="BG115" s="10">
        <f>2*(Дума_партии[[#This Row],[5. Всероссийская политическая партия "ЕДИНАЯ РОССИЯ"]]-(AB$203/100)*Дума_партии[[#This Row],[Число действительных избирательных бюллетеней]])</f>
        <v>267.43</v>
      </c>
      <c r="BH115" s="10">
        <f>(Дума_партии[[#This Row],[Вброс]]+Дума_партии[[#This Row],[Перекладывание]])/2</f>
        <v>227.22199300699302</v>
      </c>
    </row>
    <row r="116" spans="1:60" x14ac:dyDescent="0.4">
      <c r="A116" t="s">
        <v>49</v>
      </c>
      <c r="B116" t="s">
        <v>50</v>
      </c>
      <c r="C116" t="s">
        <v>51</v>
      </c>
      <c r="D116" t="s">
        <v>227</v>
      </c>
      <c r="E116" t="s">
        <v>245</v>
      </c>
      <c r="F116" s="8">
        <f t="shared" ca="1" si="60"/>
        <v>1970</v>
      </c>
      <c r="G116" t="s">
        <v>349</v>
      </c>
      <c r="H116" s="1" t="str">
        <f>LEFT(Дума_партии[[#This Row],[tik]],4)&amp;"."&amp;IF(ISNUMBER(VALUE(RIGHT(Дума_партии[[#This Row],[tik]]))),RIGHT(Дума_партии[[#This Row],[tik]]),"")</f>
        <v>Один.2</v>
      </c>
      <c r="I116">
        <v>1203</v>
      </c>
      <c r="J116" s="8">
        <f>Дума_партии[[#This Row],[Число избирателей, внесенных в список избирателей на момент окончания голосования]]</f>
        <v>1203</v>
      </c>
      <c r="K116">
        <v>1000</v>
      </c>
      <c r="L116">
        <v>0</v>
      </c>
      <c r="M116">
        <v>410</v>
      </c>
      <c r="N116">
        <v>41</v>
      </c>
      <c r="O116" s="3">
        <f t="shared" si="61"/>
        <v>37.489609310058185</v>
      </c>
      <c r="P116" s="3">
        <f t="shared" si="62"/>
        <v>3.4081463009143809</v>
      </c>
      <c r="Q116">
        <v>549</v>
      </c>
      <c r="R116">
        <v>41</v>
      </c>
      <c r="S116">
        <v>408</v>
      </c>
      <c r="T116" s="1">
        <f t="shared" si="63"/>
        <v>449</v>
      </c>
      <c r="U116" s="3">
        <f t="shared" si="64"/>
        <v>9.1314031180400885</v>
      </c>
      <c r="V116">
        <v>14</v>
      </c>
      <c r="W116" s="3">
        <f t="shared" si="65"/>
        <v>3.1180400890868598</v>
      </c>
      <c r="X116">
        <v>435</v>
      </c>
      <c r="Y116">
        <v>0</v>
      </c>
      <c r="Z116">
        <v>0</v>
      </c>
      <c r="AA116">
        <v>113</v>
      </c>
      <c r="AB116" s="3">
        <f t="shared" si="66"/>
        <v>25.167037861915368</v>
      </c>
      <c r="AC116">
        <v>6</v>
      </c>
      <c r="AD116" s="3">
        <f t="shared" si="67"/>
        <v>1.3363028953229399</v>
      </c>
      <c r="AE116">
        <v>31</v>
      </c>
      <c r="AF116" s="3">
        <f t="shared" si="68"/>
        <v>6.9042316258351892</v>
      </c>
      <c r="AG116">
        <v>30</v>
      </c>
      <c r="AH116" s="3">
        <f t="shared" si="69"/>
        <v>6.6815144766146997</v>
      </c>
      <c r="AI116">
        <v>159</v>
      </c>
      <c r="AJ116" s="3">
        <f t="shared" si="70"/>
        <v>35.41202672605791</v>
      </c>
      <c r="AK116">
        <v>34</v>
      </c>
      <c r="AL116" s="3">
        <f t="shared" si="71"/>
        <v>7.5723830734966588</v>
      </c>
      <c r="AM116">
        <v>14</v>
      </c>
      <c r="AN116" s="3">
        <f t="shared" si="72"/>
        <v>3.1180400890868598</v>
      </c>
      <c r="AO116">
        <v>2</v>
      </c>
      <c r="AP116" s="3">
        <f t="shared" si="73"/>
        <v>0.44543429844097998</v>
      </c>
      <c r="AQ116">
        <v>4</v>
      </c>
      <c r="AR116" s="3">
        <f t="shared" si="74"/>
        <v>0.89086859688195996</v>
      </c>
      <c r="AS116">
        <v>8</v>
      </c>
      <c r="AT116" s="3">
        <f t="shared" si="75"/>
        <v>1.7817371937639199</v>
      </c>
      <c r="AU116">
        <v>2</v>
      </c>
      <c r="AV116" s="3">
        <f t="shared" si="76"/>
        <v>0.44543429844097998</v>
      </c>
      <c r="AW116">
        <v>8</v>
      </c>
      <c r="AX116" s="3">
        <f t="shared" si="77"/>
        <v>1.7817371937639199</v>
      </c>
      <c r="AY116">
        <v>9</v>
      </c>
      <c r="AZ116" s="3">
        <f t="shared" si="78"/>
        <v>2.0044543429844097</v>
      </c>
      <c r="BA116">
        <v>15</v>
      </c>
      <c r="BB116" s="3">
        <f t="shared" si="79"/>
        <v>3.3407572383073498</v>
      </c>
      <c r="BC116" t="s">
        <v>315</v>
      </c>
      <c r="BD116" s="72">
        <v>2017</v>
      </c>
      <c r="BE116" s="1"/>
      <c r="BF116"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48.986013986014001</v>
      </c>
      <c r="BG116" s="10">
        <f>2*(Дума_партии[[#This Row],[5. Всероссийская политическая партия "ЕДИНАЯ РОССИЯ"]]-(AB$203/100)*Дума_партии[[#This Row],[Число действительных избирательных бюллетеней]])</f>
        <v>70.050000000000011</v>
      </c>
      <c r="BH116" s="10">
        <f>(Дума_партии[[#This Row],[Вброс]]+Дума_партии[[#This Row],[Перекладывание]])/2</f>
        <v>59.518006993007006</v>
      </c>
    </row>
    <row r="117" spans="1:60" x14ac:dyDescent="0.4">
      <c r="A117" t="s">
        <v>49</v>
      </c>
      <c r="B117" t="s">
        <v>50</v>
      </c>
      <c r="C117" t="s">
        <v>51</v>
      </c>
      <c r="D117" t="s">
        <v>227</v>
      </c>
      <c r="E117" t="s">
        <v>246</v>
      </c>
      <c r="F117" s="8">
        <f t="shared" ca="1" si="60"/>
        <v>1971</v>
      </c>
      <c r="G117" t="s">
        <v>349</v>
      </c>
      <c r="H117" s="1" t="str">
        <f>LEFT(Дума_партии[[#This Row],[tik]],4)&amp;"."&amp;IF(ISNUMBER(VALUE(RIGHT(Дума_партии[[#This Row],[tik]]))),RIGHT(Дума_партии[[#This Row],[tik]]),"")</f>
        <v>Один.2</v>
      </c>
      <c r="I117">
        <v>2259</v>
      </c>
      <c r="J117" s="8">
        <f>Дума_партии[[#This Row],[Число избирателей, внесенных в список избирателей на момент окончания голосования]]</f>
        <v>2259</v>
      </c>
      <c r="K117">
        <v>2000</v>
      </c>
      <c r="L117">
        <v>0</v>
      </c>
      <c r="M117">
        <v>783</v>
      </c>
      <c r="N117">
        <v>17</v>
      </c>
      <c r="O117" s="3">
        <f t="shared" si="61"/>
        <v>35.413899955732624</v>
      </c>
      <c r="P117" s="3">
        <f t="shared" si="62"/>
        <v>0.75254537405931832</v>
      </c>
      <c r="Q117">
        <v>1200</v>
      </c>
      <c r="R117">
        <v>17</v>
      </c>
      <c r="S117">
        <v>782</v>
      </c>
      <c r="T117" s="1">
        <f t="shared" si="63"/>
        <v>799</v>
      </c>
      <c r="U117" s="3">
        <f t="shared" si="64"/>
        <v>2.1276595744680851</v>
      </c>
      <c r="V117">
        <v>14</v>
      </c>
      <c r="W117" s="3">
        <f t="shared" si="65"/>
        <v>1.7521902377972465</v>
      </c>
      <c r="X117">
        <v>785</v>
      </c>
      <c r="Y117">
        <v>0</v>
      </c>
      <c r="Z117">
        <v>0</v>
      </c>
      <c r="AA117">
        <v>237</v>
      </c>
      <c r="AB117" s="3">
        <f t="shared" si="66"/>
        <v>29.662077596996244</v>
      </c>
      <c r="AC117">
        <v>12</v>
      </c>
      <c r="AD117" s="3">
        <f t="shared" si="67"/>
        <v>1.5018773466833542</v>
      </c>
      <c r="AE117">
        <v>67</v>
      </c>
      <c r="AF117" s="3">
        <f t="shared" si="68"/>
        <v>8.3854818523153938</v>
      </c>
      <c r="AG117">
        <v>72</v>
      </c>
      <c r="AH117" s="3">
        <f t="shared" si="69"/>
        <v>9.0112640801001245</v>
      </c>
      <c r="AI117">
        <v>215</v>
      </c>
      <c r="AJ117" s="3">
        <f t="shared" si="70"/>
        <v>26.908635794743429</v>
      </c>
      <c r="AK117">
        <v>66</v>
      </c>
      <c r="AL117" s="3">
        <f t="shared" si="71"/>
        <v>8.2603254067584473</v>
      </c>
      <c r="AM117">
        <v>20</v>
      </c>
      <c r="AN117" s="3">
        <f t="shared" si="72"/>
        <v>2.5031289111389237</v>
      </c>
      <c r="AO117">
        <v>6</v>
      </c>
      <c r="AP117" s="3">
        <f t="shared" si="73"/>
        <v>0.75093867334167708</v>
      </c>
      <c r="AQ117">
        <v>17</v>
      </c>
      <c r="AR117" s="3">
        <f t="shared" si="74"/>
        <v>2.1276595744680851</v>
      </c>
      <c r="AS117">
        <v>12</v>
      </c>
      <c r="AT117" s="3">
        <f t="shared" si="75"/>
        <v>1.5018773466833542</v>
      </c>
      <c r="AU117">
        <v>0</v>
      </c>
      <c r="AV117" s="3">
        <f t="shared" si="76"/>
        <v>0</v>
      </c>
      <c r="AW117">
        <v>7</v>
      </c>
      <c r="AX117" s="3">
        <f t="shared" si="77"/>
        <v>0.87609511889862324</v>
      </c>
      <c r="AY117">
        <v>16</v>
      </c>
      <c r="AZ117" s="3">
        <f t="shared" si="78"/>
        <v>2.002503128911139</v>
      </c>
      <c r="BA117">
        <v>38</v>
      </c>
      <c r="BB117" s="3">
        <f t="shared" si="79"/>
        <v>4.7559449311639552</v>
      </c>
      <c r="BC117" t="s">
        <v>315</v>
      </c>
      <c r="BD117" s="72">
        <v>2017</v>
      </c>
      <c r="BE117" s="1"/>
      <c r="BF117"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-12.202797202797171</v>
      </c>
      <c r="BG117" s="10">
        <f>2*(Дума_партии[[#This Row],[5. Всероссийская политическая партия "ЕДИНАЯ РОССИЯ"]]-(AB$203/100)*Дума_партии[[#This Row],[Число действительных избирательных бюллетеней]])</f>
        <v>-17.449999999999989</v>
      </c>
      <c r="BH117" s="10">
        <f>(Дума_партии[[#This Row],[Вброс]]+Дума_партии[[#This Row],[Перекладывание]])/2</f>
        <v>-14.82639860139858</v>
      </c>
    </row>
    <row r="118" spans="1:60" x14ac:dyDescent="0.4">
      <c r="A118" t="s">
        <v>49</v>
      </c>
      <c r="B118" t="s">
        <v>50</v>
      </c>
      <c r="C118" t="s">
        <v>51</v>
      </c>
      <c r="D118" t="s">
        <v>227</v>
      </c>
      <c r="E118" t="s">
        <v>247</v>
      </c>
      <c r="F118" s="8">
        <f t="shared" ca="1" si="60"/>
        <v>1972</v>
      </c>
      <c r="G118" t="s">
        <v>349</v>
      </c>
      <c r="H118" s="1" t="str">
        <f>LEFT(Дума_партии[[#This Row],[tik]],4)&amp;"."&amp;IF(ISNUMBER(VALUE(RIGHT(Дума_партии[[#This Row],[tik]]))),RIGHT(Дума_партии[[#This Row],[tik]]),"")</f>
        <v>Один.2</v>
      </c>
      <c r="I118">
        <v>1859</v>
      </c>
      <c r="J118" s="8">
        <f>Дума_партии[[#This Row],[Число избирателей, внесенных в список избирателей на момент окончания голосования]]</f>
        <v>1859</v>
      </c>
      <c r="K118">
        <v>1100</v>
      </c>
      <c r="L118">
        <v>0</v>
      </c>
      <c r="M118">
        <v>886</v>
      </c>
      <c r="N118">
        <v>10</v>
      </c>
      <c r="O118" s="3">
        <f t="shared" si="61"/>
        <v>48.197955890263586</v>
      </c>
      <c r="P118" s="3">
        <f t="shared" si="62"/>
        <v>0.53792361484669182</v>
      </c>
      <c r="Q118">
        <v>204</v>
      </c>
      <c r="R118">
        <v>10</v>
      </c>
      <c r="S118">
        <v>881</v>
      </c>
      <c r="T118" s="1">
        <f t="shared" si="63"/>
        <v>891</v>
      </c>
      <c r="U118" s="3">
        <f t="shared" si="64"/>
        <v>1.122334455667789</v>
      </c>
      <c r="V118">
        <v>34</v>
      </c>
      <c r="W118" s="3">
        <f t="shared" si="65"/>
        <v>3.8159371492704826</v>
      </c>
      <c r="X118">
        <v>857</v>
      </c>
      <c r="Y118">
        <v>0</v>
      </c>
      <c r="Z118">
        <v>0</v>
      </c>
      <c r="AA118">
        <v>180</v>
      </c>
      <c r="AB118" s="3">
        <f t="shared" si="66"/>
        <v>20.202020202020201</v>
      </c>
      <c r="AC118">
        <v>15</v>
      </c>
      <c r="AD118" s="3">
        <f t="shared" si="67"/>
        <v>1.6835016835016836</v>
      </c>
      <c r="AE118">
        <v>69</v>
      </c>
      <c r="AF118" s="3">
        <f t="shared" si="68"/>
        <v>7.7441077441077439</v>
      </c>
      <c r="AG118">
        <v>54</v>
      </c>
      <c r="AH118" s="3">
        <f t="shared" si="69"/>
        <v>6.0606060606060606</v>
      </c>
      <c r="AI118">
        <v>386</v>
      </c>
      <c r="AJ118" s="3">
        <f t="shared" si="70"/>
        <v>43.322109988776653</v>
      </c>
      <c r="AK118">
        <v>72</v>
      </c>
      <c r="AL118" s="3">
        <f t="shared" si="71"/>
        <v>8.0808080808080813</v>
      </c>
      <c r="AM118">
        <v>21</v>
      </c>
      <c r="AN118" s="3">
        <f t="shared" si="72"/>
        <v>2.3569023569023568</v>
      </c>
      <c r="AO118">
        <v>3</v>
      </c>
      <c r="AP118" s="3">
        <f t="shared" si="73"/>
        <v>0.33670033670033672</v>
      </c>
      <c r="AQ118">
        <v>8</v>
      </c>
      <c r="AR118" s="3">
        <f t="shared" si="74"/>
        <v>0.89786756453423122</v>
      </c>
      <c r="AS118">
        <v>10</v>
      </c>
      <c r="AT118" s="3">
        <f t="shared" si="75"/>
        <v>1.122334455667789</v>
      </c>
      <c r="AU118">
        <v>0</v>
      </c>
      <c r="AV118" s="3">
        <f t="shared" si="76"/>
        <v>0</v>
      </c>
      <c r="AW118">
        <v>9</v>
      </c>
      <c r="AX118" s="3">
        <f t="shared" si="77"/>
        <v>1.0101010101010102</v>
      </c>
      <c r="AY118">
        <v>10</v>
      </c>
      <c r="AZ118" s="3">
        <f t="shared" si="78"/>
        <v>1.122334455667789</v>
      </c>
      <c r="BA118">
        <v>20</v>
      </c>
      <c r="BB118" s="3">
        <f t="shared" si="79"/>
        <v>2.244668911335578</v>
      </c>
      <c r="BC118" t="s">
        <v>315</v>
      </c>
      <c r="BD118" s="72">
        <v>2017</v>
      </c>
      <c r="BE118" s="1"/>
      <c r="BF118"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198.25874125874128</v>
      </c>
      <c r="BG118" s="10">
        <f>2*(Дума_партии[[#This Row],[5. Всероссийская политическая партия "ЕДИНАЯ РОССИЯ"]]-(AB$203/100)*Дума_партии[[#This Row],[Число действительных избирательных бюллетеней]])</f>
        <v>283.51000000000005</v>
      </c>
      <c r="BH118" s="10">
        <f>(Дума_партии[[#This Row],[Вброс]]+Дума_партии[[#This Row],[Перекладывание]])/2</f>
        <v>240.88437062937066</v>
      </c>
    </row>
    <row r="119" spans="1:60" x14ac:dyDescent="0.4">
      <c r="A119" t="s">
        <v>49</v>
      </c>
      <c r="B119" t="s">
        <v>50</v>
      </c>
      <c r="C119" t="s">
        <v>51</v>
      </c>
      <c r="D119" t="s">
        <v>227</v>
      </c>
      <c r="E119" t="s">
        <v>248</v>
      </c>
      <c r="F119" s="8">
        <f t="shared" ca="1" si="60"/>
        <v>1974</v>
      </c>
      <c r="G119" t="s">
        <v>349</v>
      </c>
      <c r="H119" s="1" t="str">
        <f>LEFT(Дума_партии[[#This Row],[tik]],4)&amp;"."&amp;IF(ISNUMBER(VALUE(RIGHT(Дума_партии[[#This Row],[tik]]))),RIGHT(Дума_партии[[#This Row],[tik]]),"")</f>
        <v>Один.2</v>
      </c>
      <c r="I119">
        <v>2084</v>
      </c>
      <c r="J119" s="8">
        <f>Дума_партии[[#This Row],[Число избирателей, внесенных в список избирателей на момент окончания голосования]]</f>
        <v>2084</v>
      </c>
      <c r="K119">
        <v>1800</v>
      </c>
      <c r="L119">
        <v>0</v>
      </c>
      <c r="M119">
        <v>751</v>
      </c>
      <c r="N119">
        <v>7</v>
      </c>
      <c r="O119" s="3">
        <f t="shared" si="61"/>
        <v>36.372360844529751</v>
      </c>
      <c r="P119" s="3">
        <f t="shared" si="62"/>
        <v>0.33589251439539347</v>
      </c>
      <c r="Q119">
        <v>1042</v>
      </c>
      <c r="R119">
        <v>7</v>
      </c>
      <c r="S119">
        <v>751</v>
      </c>
      <c r="T119" s="1">
        <f t="shared" si="63"/>
        <v>758</v>
      </c>
      <c r="U119" s="3">
        <f t="shared" si="64"/>
        <v>0.92348284960422167</v>
      </c>
      <c r="V119">
        <v>23</v>
      </c>
      <c r="W119" s="3">
        <f t="shared" si="65"/>
        <v>3.0343007915567282</v>
      </c>
      <c r="X119">
        <v>735</v>
      </c>
      <c r="Y119">
        <v>0</v>
      </c>
      <c r="Z119">
        <v>0</v>
      </c>
      <c r="AA119">
        <v>242</v>
      </c>
      <c r="AB119" s="3">
        <f t="shared" si="66"/>
        <v>31.926121372031663</v>
      </c>
      <c r="AC119">
        <v>7</v>
      </c>
      <c r="AD119" s="3">
        <f t="shared" si="67"/>
        <v>0.92348284960422167</v>
      </c>
      <c r="AE119">
        <v>51</v>
      </c>
      <c r="AF119" s="3">
        <f t="shared" si="68"/>
        <v>6.7282321899736148</v>
      </c>
      <c r="AG119">
        <v>62</v>
      </c>
      <c r="AH119" s="3">
        <f t="shared" si="69"/>
        <v>8.1794195250659634</v>
      </c>
      <c r="AI119">
        <v>208</v>
      </c>
      <c r="AJ119" s="3">
        <f t="shared" si="70"/>
        <v>27.440633245382585</v>
      </c>
      <c r="AK119">
        <v>76</v>
      </c>
      <c r="AL119" s="3">
        <f t="shared" si="71"/>
        <v>10.026385224274406</v>
      </c>
      <c r="AM119">
        <v>20</v>
      </c>
      <c r="AN119" s="3">
        <f t="shared" si="72"/>
        <v>2.6385224274406331</v>
      </c>
      <c r="AO119">
        <v>4</v>
      </c>
      <c r="AP119" s="3">
        <f t="shared" si="73"/>
        <v>0.52770448548812665</v>
      </c>
      <c r="AQ119">
        <v>4</v>
      </c>
      <c r="AR119" s="3">
        <f t="shared" si="74"/>
        <v>0.52770448548812665</v>
      </c>
      <c r="AS119">
        <v>19</v>
      </c>
      <c r="AT119" s="3">
        <f t="shared" si="75"/>
        <v>2.5065963060686016</v>
      </c>
      <c r="AU119">
        <v>2</v>
      </c>
      <c r="AV119" s="3">
        <f t="shared" si="76"/>
        <v>0.26385224274406333</v>
      </c>
      <c r="AW119">
        <v>15</v>
      </c>
      <c r="AX119" s="3">
        <f t="shared" si="77"/>
        <v>1.9788918205804749</v>
      </c>
      <c r="AY119">
        <v>6</v>
      </c>
      <c r="AZ119" s="3">
        <f t="shared" si="78"/>
        <v>0.79155672823218992</v>
      </c>
      <c r="BA119">
        <v>19</v>
      </c>
      <c r="BB119" s="3">
        <f t="shared" si="79"/>
        <v>2.5065963060686016</v>
      </c>
      <c r="BC119" t="s">
        <v>315</v>
      </c>
      <c r="BD119" s="72">
        <v>2017</v>
      </c>
      <c r="BE119" s="1">
        <v>1</v>
      </c>
      <c r="BF119"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-2.0629370629370385</v>
      </c>
      <c r="BG119" s="10">
        <f>2*(Дума_партии[[#This Row],[5. Всероссийская политическая партия "ЕДИНАЯ РОССИЯ"]]-(AB$203/100)*Дума_партии[[#This Row],[Число действительных избирательных бюллетеней]])</f>
        <v>-2.9499999999999886</v>
      </c>
      <c r="BH119" s="10">
        <f>(Дума_партии[[#This Row],[Вброс]]+Дума_партии[[#This Row],[Перекладывание]])/2</f>
        <v>-2.5064685314685136</v>
      </c>
    </row>
    <row r="120" spans="1:60" s="18" customFormat="1" x14ac:dyDescent="0.4">
      <c r="A120" s="18" t="s">
        <v>49</v>
      </c>
      <c r="B120" s="18" t="s">
        <v>50</v>
      </c>
      <c r="C120" s="18" t="s">
        <v>51</v>
      </c>
      <c r="D120" s="18" t="s">
        <v>227</v>
      </c>
      <c r="E120" s="18" t="s">
        <v>354</v>
      </c>
      <c r="F120" s="19">
        <f t="shared" ca="1" si="60"/>
        <v>1976</v>
      </c>
      <c r="G120" s="18" t="s">
        <v>349</v>
      </c>
      <c r="H120" s="19" t="str">
        <f>LEFT(Дума_партии[[#This Row],[tik]],4)&amp;"."&amp;IF(ISNUMBER(VALUE(RIGHT(Дума_партии[[#This Row],[tik]]))),RIGHT(Дума_партии[[#This Row],[tik]]),"")</f>
        <v>Один.2</v>
      </c>
      <c r="J120" s="19">
        <f>Дума_партии[[#This Row],[Число избирателей, внесенных в список избирателей на момент окончания голосования]]</f>
        <v>0</v>
      </c>
      <c r="O120" s="20" t="e">
        <f t="shared" si="61"/>
        <v>#DIV/0!</v>
      </c>
      <c r="P120" s="20" t="e">
        <f t="shared" si="62"/>
        <v>#DIV/0!</v>
      </c>
      <c r="T120" s="18">
        <f t="shared" si="63"/>
        <v>0</v>
      </c>
      <c r="U120" s="20" t="e">
        <f t="shared" si="64"/>
        <v>#DIV/0!</v>
      </c>
      <c r="W120" s="20" t="e">
        <f t="shared" si="65"/>
        <v>#DIV/0!</v>
      </c>
      <c r="AB120" s="20" t="e">
        <f t="shared" si="66"/>
        <v>#DIV/0!</v>
      </c>
      <c r="AD120" s="20" t="e">
        <f t="shared" si="67"/>
        <v>#DIV/0!</v>
      </c>
      <c r="AF120" s="20" t="e">
        <f t="shared" si="68"/>
        <v>#DIV/0!</v>
      </c>
      <c r="AH120" s="20" t="e">
        <f t="shared" si="69"/>
        <v>#DIV/0!</v>
      </c>
      <c r="AJ120" s="20" t="e">
        <f t="shared" si="70"/>
        <v>#DIV/0!</v>
      </c>
      <c r="AL120" s="20" t="e">
        <f t="shared" si="71"/>
        <v>#DIV/0!</v>
      </c>
      <c r="AN120" s="20" t="e">
        <f t="shared" si="72"/>
        <v>#DIV/0!</v>
      </c>
      <c r="AP120" s="20" t="e">
        <f t="shared" si="73"/>
        <v>#DIV/0!</v>
      </c>
      <c r="AR120" s="20" t="e">
        <f t="shared" si="74"/>
        <v>#DIV/0!</v>
      </c>
      <c r="AT120" s="20" t="e">
        <f t="shared" si="75"/>
        <v>#DIV/0!</v>
      </c>
      <c r="AV120" s="20" t="e">
        <f t="shared" si="76"/>
        <v>#DIV/0!</v>
      </c>
      <c r="AX120" s="20" t="e">
        <f t="shared" si="77"/>
        <v>#DIV/0!</v>
      </c>
      <c r="AZ120" s="20" t="e">
        <f t="shared" si="78"/>
        <v>#DIV/0!</v>
      </c>
      <c r="BB120" s="20" t="e">
        <f t="shared" si="79"/>
        <v>#DIV/0!</v>
      </c>
      <c r="BD120" s="18" t="s">
        <v>455</v>
      </c>
      <c r="BE120" s="18">
        <v>2</v>
      </c>
      <c r="BF120" s="21">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0</v>
      </c>
      <c r="BG120" s="21">
        <f>2*(Дума_партии[[#This Row],[5. Всероссийская политическая партия "ЕДИНАЯ РОССИЯ"]]-(AB$203/100)*Дума_партии[[#This Row],[Число действительных избирательных бюллетеней]])</f>
        <v>0</v>
      </c>
      <c r="BH120" s="21">
        <f>(Дума_партии[[#This Row],[Вброс]]+Дума_партии[[#This Row],[Перекладывание]])/2</f>
        <v>0</v>
      </c>
    </row>
    <row r="121" spans="1:60" x14ac:dyDescent="0.4">
      <c r="A121" t="s">
        <v>49</v>
      </c>
      <c r="B121" t="s">
        <v>50</v>
      </c>
      <c r="C121" t="s">
        <v>51</v>
      </c>
      <c r="D121" t="s">
        <v>227</v>
      </c>
      <c r="E121" t="s">
        <v>249</v>
      </c>
      <c r="F121" s="8">
        <f t="shared" ca="1" si="60"/>
        <v>1978</v>
      </c>
      <c r="G121" s="1" t="s">
        <v>349</v>
      </c>
      <c r="H121" s="1" t="str">
        <f>LEFT(Дума_партии[[#This Row],[tik]],4)&amp;"."&amp;IF(ISNUMBER(VALUE(RIGHT(Дума_партии[[#This Row],[tik]]))),RIGHT(Дума_партии[[#This Row],[tik]]),"")</f>
        <v>Один.2</v>
      </c>
      <c r="I121">
        <v>2430</v>
      </c>
      <c r="J121" s="8">
        <f>Дума_партии[[#This Row],[Число избирателей, внесенных в список избирателей на момент окончания голосования]]</f>
        <v>2430</v>
      </c>
      <c r="K121">
        <v>2000</v>
      </c>
      <c r="L121">
        <v>0</v>
      </c>
      <c r="M121">
        <v>877</v>
      </c>
      <c r="N121">
        <v>143</v>
      </c>
      <c r="O121" s="3">
        <f t="shared" si="61"/>
        <v>41.97530864197531</v>
      </c>
      <c r="P121" s="3">
        <f t="shared" si="62"/>
        <v>5.8847736625514404</v>
      </c>
      <c r="Q121">
        <v>980</v>
      </c>
      <c r="R121">
        <v>142</v>
      </c>
      <c r="S121">
        <v>877</v>
      </c>
      <c r="T121" s="1">
        <f t="shared" si="63"/>
        <v>1019</v>
      </c>
      <c r="U121" s="3">
        <f t="shared" si="64"/>
        <v>13.93523061825319</v>
      </c>
      <c r="V121">
        <v>51</v>
      </c>
      <c r="W121" s="3">
        <f t="shared" si="65"/>
        <v>5.0049067713444551</v>
      </c>
      <c r="X121">
        <v>968</v>
      </c>
      <c r="Y121">
        <v>0</v>
      </c>
      <c r="Z121">
        <v>0</v>
      </c>
      <c r="AA121">
        <v>248</v>
      </c>
      <c r="AB121" s="3">
        <f t="shared" si="66"/>
        <v>24.337585868498529</v>
      </c>
      <c r="AC121">
        <v>12</v>
      </c>
      <c r="AD121" s="3">
        <f t="shared" si="67"/>
        <v>1.1776251226692835</v>
      </c>
      <c r="AE121">
        <v>89</v>
      </c>
      <c r="AF121" s="3">
        <f t="shared" si="68"/>
        <v>8.7340529931305202</v>
      </c>
      <c r="AG121">
        <v>77</v>
      </c>
      <c r="AH121" s="3">
        <f t="shared" si="69"/>
        <v>7.5564278704612367</v>
      </c>
      <c r="AI121">
        <v>344</v>
      </c>
      <c r="AJ121" s="3">
        <f t="shared" si="70"/>
        <v>33.758586849852797</v>
      </c>
      <c r="AK121">
        <v>74</v>
      </c>
      <c r="AL121" s="3">
        <f t="shared" si="71"/>
        <v>7.2620215897939158</v>
      </c>
      <c r="AM121">
        <v>14</v>
      </c>
      <c r="AN121" s="3">
        <f t="shared" si="72"/>
        <v>1.3738959764474976</v>
      </c>
      <c r="AO121">
        <v>8</v>
      </c>
      <c r="AP121" s="3">
        <f t="shared" si="73"/>
        <v>0.78508341511285573</v>
      </c>
      <c r="AQ121">
        <v>14</v>
      </c>
      <c r="AR121" s="3">
        <f t="shared" si="74"/>
        <v>1.3738959764474976</v>
      </c>
      <c r="AS121">
        <v>21</v>
      </c>
      <c r="AT121" s="3">
        <f t="shared" si="75"/>
        <v>2.0608439646712462</v>
      </c>
      <c r="AU121">
        <v>1</v>
      </c>
      <c r="AV121" s="3">
        <f t="shared" si="76"/>
        <v>9.8135426889106966E-2</v>
      </c>
      <c r="AW121">
        <v>14</v>
      </c>
      <c r="AX121" s="3">
        <f t="shared" si="77"/>
        <v>1.3738959764474976</v>
      </c>
      <c r="AY121">
        <v>14</v>
      </c>
      <c r="AZ121" s="3">
        <f t="shared" si="78"/>
        <v>1.3738959764474976</v>
      </c>
      <c r="BA121">
        <v>38</v>
      </c>
      <c r="BB121" s="3">
        <f t="shared" si="79"/>
        <v>3.7291462217860647</v>
      </c>
      <c r="BC121" t="s">
        <v>315</v>
      </c>
      <c r="BD121" t="s">
        <v>455</v>
      </c>
      <c r="BE121" s="1"/>
      <c r="BF121"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95.272727272727309</v>
      </c>
      <c r="BG121" s="10">
        <f>2*(Дума_партии[[#This Row],[5. Всероссийская политическая партия "ЕДИНАЯ РОССИЯ"]]-(AB$203/100)*Дума_партии[[#This Row],[Число действительных избирательных бюллетеней]])</f>
        <v>136.24</v>
      </c>
      <c r="BH121" s="10">
        <f>(Дума_партии[[#This Row],[Вброс]]+Дума_партии[[#This Row],[Перекладывание]])/2</f>
        <v>115.75636363636366</v>
      </c>
    </row>
    <row r="122" spans="1:60" x14ac:dyDescent="0.4">
      <c r="A122" t="s">
        <v>49</v>
      </c>
      <c r="B122" t="s">
        <v>50</v>
      </c>
      <c r="C122" t="s">
        <v>51</v>
      </c>
      <c r="D122" t="s">
        <v>227</v>
      </c>
      <c r="E122" t="s">
        <v>250</v>
      </c>
      <c r="F122" s="8">
        <f t="shared" ca="1" si="60"/>
        <v>1979</v>
      </c>
      <c r="G122" s="1" t="s">
        <v>349</v>
      </c>
      <c r="H122" s="1" t="str">
        <f>LEFT(Дума_партии[[#This Row],[tik]],4)&amp;"."&amp;IF(ISNUMBER(VALUE(RIGHT(Дума_партии[[#This Row],[tik]]))),RIGHT(Дума_партии[[#This Row],[tik]]),"")</f>
        <v>Один.2</v>
      </c>
      <c r="I122">
        <v>2223</v>
      </c>
      <c r="J122" s="8">
        <f>Дума_партии[[#This Row],[Число избирателей, внесенных в список избирателей на момент окончания голосования]]</f>
        <v>2223</v>
      </c>
      <c r="K122">
        <v>2000</v>
      </c>
      <c r="L122">
        <v>0</v>
      </c>
      <c r="M122">
        <v>702</v>
      </c>
      <c r="N122">
        <v>15</v>
      </c>
      <c r="O122" s="3">
        <f t="shared" si="61"/>
        <v>32.253711201079625</v>
      </c>
      <c r="P122" s="3">
        <f t="shared" si="62"/>
        <v>0.67476383265856954</v>
      </c>
      <c r="Q122">
        <v>1283</v>
      </c>
      <c r="R122">
        <v>15</v>
      </c>
      <c r="S122">
        <v>702</v>
      </c>
      <c r="T122" s="1">
        <f t="shared" si="63"/>
        <v>717</v>
      </c>
      <c r="U122" s="3">
        <f t="shared" si="64"/>
        <v>2.0920502092050208</v>
      </c>
      <c r="V122">
        <v>29</v>
      </c>
      <c r="W122" s="3">
        <f t="shared" si="65"/>
        <v>4.0446304044630406</v>
      </c>
      <c r="X122">
        <v>688</v>
      </c>
      <c r="Y122">
        <v>0</v>
      </c>
      <c r="Z122">
        <v>0</v>
      </c>
      <c r="AA122">
        <v>176</v>
      </c>
      <c r="AB122" s="3">
        <f t="shared" si="66"/>
        <v>24.546722454672246</v>
      </c>
      <c r="AC122">
        <v>10</v>
      </c>
      <c r="AD122" s="3">
        <f t="shared" si="67"/>
        <v>1.394700139470014</v>
      </c>
      <c r="AE122">
        <v>62</v>
      </c>
      <c r="AF122" s="3">
        <f t="shared" si="68"/>
        <v>8.6471408647140873</v>
      </c>
      <c r="AG122">
        <v>73</v>
      </c>
      <c r="AH122" s="3">
        <f t="shared" si="69"/>
        <v>10.181311018131101</v>
      </c>
      <c r="AI122">
        <v>198</v>
      </c>
      <c r="AJ122" s="3">
        <f t="shared" si="70"/>
        <v>27.615062761506277</v>
      </c>
      <c r="AK122">
        <v>92</v>
      </c>
      <c r="AL122" s="3">
        <f t="shared" si="71"/>
        <v>12.831241283124129</v>
      </c>
      <c r="AM122">
        <v>13</v>
      </c>
      <c r="AN122" s="3">
        <f t="shared" si="72"/>
        <v>1.8131101813110182</v>
      </c>
      <c r="AO122">
        <v>4</v>
      </c>
      <c r="AP122" s="3">
        <f t="shared" si="73"/>
        <v>0.55788005578800559</v>
      </c>
      <c r="AQ122">
        <v>14</v>
      </c>
      <c r="AR122" s="3">
        <f t="shared" si="74"/>
        <v>1.9525801952580195</v>
      </c>
      <c r="AS122">
        <v>9</v>
      </c>
      <c r="AT122" s="3">
        <f t="shared" si="75"/>
        <v>1.2552301255230125</v>
      </c>
      <c r="AU122">
        <v>1</v>
      </c>
      <c r="AV122" s="3">
        <f t="shared" si="76"/>
        <v>0.1394700139470014</v>
      </c>
      <c r="AW122">
        <v>9</v>
      </c>
      <c r="AX122" s="3">
        <f t="shared" si="77"/>
        <v>1.2552301255230125</v>
      </c>
      <c r="AY122">
        <v>4</v>
      </c>
      <c r="AZ122" s="3">
        <f t="shared" si="78"/>
        <v>0.55788005578800559</v>
      </c>
      <c r="BA122">
        <v>23</v>
      </c>
      <c r="BB122" s="3">
        <f t="shared" si="79"/>
        <v>3.2078103207810322</v>
      </c>
      <c r="BC122" t="s">
        <v>315</v>
      </c>
      <c r="BD122" s="72">
        <v>2017</v>
      </c>
      <c r="BE122" s="1"/>
      <c r="BF122"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2.6853146853147223</v>
      </c>
      <c r="BG122" s="10">
        <f>2*(Дума_партии[[#This Row],[5. Всероссийская политическая партия "ЕДИНАЯ РОССИЯ"]]-(AB$203/100)*Дума_партии[[#This Row],[Число действительных избирательных бюллетеней]])</f>
        <v>3.8400000000000318</v>
      </c>
      <c r="BH122" s="10">
        <f>(Дума_партии[[#This Row],[Вброс]]+Дума_партии[[#This Row],[Перекладывание]])/2</f>
        <v>3.2626573426573771</v>
      </c>
    </row>
    <row r="123" spans="1:60" x14ac:dyDescent="0.4">
      <c r="A123" t="s">
        <v>49</v>
      </c>
      <c r="B123" t="s">
        <v>50</v>
      </c>
      <c r="C123" t="s">
        <v>51</v>
      </c>
      <c r="D123" t="s">
        <v>227</v>
      </c>
      <c r="E123" t="s">
        <v>251</v>
      </c>
      <c r="F123" s="8">
        <f t="shared" ca="1" si="60"/>
        <v>1981</v>
      </c>
      <c r="G123" s="1" t="s">
        <v>349</v>
      </c>
      <c r="H123" s="1" t="str">
        <f>LEFT(Дума_партии[[#This Row],[tik]],4)&amp;"."&amp;IF(ISNUMBER(VALUE(RIGHT(Дума_партии[[#This Row],[tik]]))),RIGHT(Дума_партии[[#This Row],[tik]]),"")</f>
        <v>Один.2</v>
      </c>
      <c r="I123">
        <v>2309</v>
      </c>
      <c r="J123" s="8">
        <f>Дума_партии[[#This Row],[Число избирателей, внесенных в список избирателей на момент окончания голосования]]</f>
        <v>2309</v>
      </c>
      <c r="K123">
        <v>2000</v>
      </c>
      <c r="L123">
        <v>0</v>
      </c>
      <c r="M123">
        <v>1051</v>
      </c>
      <c r="N123">
        <v>134</v>
      </c>
      <c r="O123" s="3">
        <f t="shared" si="61"/>
        <v>51.320918146383718</v>
      </c>
      <c r="P123" s="3">
        <f t="shared" si="62"/>
        <v>5.8033780857514072</v>
      </c>
      <c r="Q123">
        <v>815</v>
      </c>
      <c r="R123">
        <v>134</v>
      </c>
      <c r="S123">
        <v>1051</v>
      </c>
      <c r="T123" s="1">
        <f t="shared" si="63"/>
        <v>1185</v>
      </c>
      <c r="U123" s="3">
        <f t="shared" si="64"/>
        <v>11.308016877637131</v>
      </c>
      <c r="V123">
        <v>31</v>
      </c>
      <c r="W123" s="3">
        <f t="shared" si="65"/>
        <v>2.6160337552742616</v>
      </c>
      <c r="X123">
        <v>1154</v>
      </c>
      <c r="Y123">
        <v>0</v>
      </c>
      <c r="Z123">
        <v>0</v>
      </c>
      <c r="AA123">
        <v>109</v>
      </c>
      <c r="AB123" s="3">
        <f t="shared" si="66"/>
        <v>9.1983122362869203</v>
      </c>
      <c r="AC123">
        <v>12</v>
      </c>
      <c r="AD123" s="3">
        <f t="shared" si="67"/>
        <v>1.0126582278481013</v>
      </c>
      <c r="AE123">
        <v>64</v>
      </c>
      <c r="AF123" s="3">
        <f t="shared" si="68"/>
        <v>5.4008438818565399</v>
      </c>
      <c r="AG123">
        <v>59</v>
      </c>
      <c r="AH123" s="3">
        <f t="shared" si="69"/>
        <v>4.9789029535864975</v>
      </c>
      <c r="AI123">
        <v>702</v>
      </c>
      <c r="AJ123" s="3">
        <f t="shared" si="70"/>
        <v>59.240506329113927</v>
      </c>
      <c r="AK123">
        <v>95</v>
      </c>
      <c r="AL123" s="3">
        <f t="shared" si="71"/>
        <v>8.0168776371308024</v>
      </c>
      <c r="AM123">
        <v>19</v>
      </c>
      <c r="AN123" s="3">
        <f t="shared" si="72"/>
        <v>1.6033755274261603</v>
      </c>
      <c r="AO123">
        <v>8</v>
      </c>
      <c r="AP123" s="3">
        <f t="shared" si="73"/>
        <v>0.67510548523206748</v>
      </c>
      <c r="AQ123">
        <v>12</v>
      </c>
      <c r="AR123" s="3">
        <f t="shared" si="74"/>
        <v>1.0126582278481013</v>
      </c>
      <c r="AS123">
        <v>11</v>
      </c>
      <c r="AT123" s="3">
        <f t="shared" si="75"/>
        <v>0.92827004219409281</v>
      </c>
      <c r="AU123">
        <v>1</v>
      </c>
      <c r="AV123" s="3">
        <f t="shared" si="76"/>
        <v>8.4388185654008435E-2</v>
      </c>
      <c r="AW123">
        <v>9</v>
      </c>
      <c r="AX123" s="3">
        <f t="shared" si="77"/>
        <v>0.759493670886076</v>
      </c>
      <c r="AY123">
        <v>13</v>
      </c>
      <c r="AZ123" s="3">
        <f t="shared" si="78"/>
        <v>1.0970464135021096</v>
      </c>
      <c r="BA123">
        <v>40</v>
      </c>
      <c r="BB123" s="3">
        <f t="shared" si="79"/>
        <v>3.3755274261603376</v>
      </c>
      <c r="BC123" t="s">
        <v>315</v>
      </c>
      <c r="BD123" s="72">
        <v>2017</v>
      </c>
      <c r="BE123" s="1"/>
      <c r="BF123"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521.8321678321679</v>
      </c>
      <c r="BG123" s="10">
        <f>2*(Дума_партии[[#This Row],[5. Всероссийская политическая партия "ЕДИНАЯ РОССИЯ"]]-(AB$203/100)*Дума_партии[[#This Row],[Число действительных избирательных бюллетеней]])</f>
        <v>746.22</v>
      </c>
      <c r="BH123" s="10">
        <f>(Дума_партии[[#This Row],[Вброс]]+Дума_партии[[#This Row],[Перекладывание]])/2</f>
        <v>634.02608391608396</v>
      </c>
    </row>
    <row r="124" spans="1:60" x14ac:dyDescent="0.4">
      <c r="A124" t="s">
        <v>49</v>
      </c>
      <c r="B124" t="s">
        <v>50</v>
      </c>
      <c r="C124" t="s">
        <v>51</v>
      </c>
      <c r="D124" t="s">
        <v>227</v>
      </c>
      <c r="E124" t="s">
        <v>252</v>
      </c>
      <c r="F124" s="8">
        <f t="shared" ca="1" si="60"/>
        <v>1983</v>
      </c>
      <c r="G124" s="1" t="s">
        <v>349</v>
      </c>
      <c r="H124" s="1" t="str">
        <f>LEFT(Дума_партии[[#This Row],[tik]],4)&amp;"."&amp;IF(ISNUMBER(VALUE(RIGHT(Дума_партии[[#This Row],[tik]]))),RIGHT(Дума_партии[[#This Row],[tik]]),"")</f>
        <v>Один.2</v>
      </c>
      <c r="I124">
        <v>1997</v>
      </c>
      <c r="J124" s="8">
        <f>Дума_партии[[#This Row],[Число избирателей, внесенных в список избирателей на момент окончания голосования]]</f>
        <v>1997</v>
      </c>
      <c r="K124">
        <v>1600</v>
      </c>
      <c r="L124">
        <v>0</v>
      </c>
      <c r="M124">
        <v>639</v>
      </c>
      <c r="N124">
        <v>31</v>
      </c>
      <c r="O124" s="3">
        <f t="shared" si="61"/>
        <v>33.550325488232346</v>
      </c>
      <c r="P124" s="3">
        <f t="shared" si="62"/>
        <v>1.5523284927391086</v>
      </c>
      <c r="Q124">
        <v>930</v>
      </c>
      <c r="R124">
        <v>31</v>
      </c>
      <c r="S124">
        <v>639</v>
      </c>
      <c r="T124" s="1">
        <f t="shared" si="63"/>
        <v>670</v>
      </c>
      <c r="U124" s="3">
        <f t="shared" si="64"/>
        <v>4.6268656716417906</v>
      </c>
      <c r="V124">
        <v>17</v>
      </c>
      <c r="W124" s="3">
        <f t="shared" si="65"/>
        <v>2.5373134328358211</v>
      </c>
      <c r="X124">
        <v>653</v>
      </c>
      <c r="Y124">
        <v>0</v>
      </c>
      <c r="Z124">
        <v>0</v>
      </c>
      <c r="AA124">
        <v>160</v>
      </c>
      <c r="AB124" s="3">
        <f t="shared" si="66"/>
        <v>23.880597014925375</v>
      </c>
      <c r="AC124">
        <v>13</v>
      </c>
      <c r="AD124" s="3">
        <f t="shared" si="67"/>
        <v>1.9402985074626866</v>
      </c>
      <c r="AE124">
        <v>50</v>
      </c>
      <c r="AF124" s="3">
        <f t="shared" si="68"/>
        <v>7.4626865671641793</v>
      </c>
      <c r="AG124">
        <v>50</v>
      </c>
      <c r="AH124" s="3">
        <f t="shared" si="69"/>
        <v>7.4626865671641793</v>
      </c>
      <c r="AI124">
        <v>256</v>
      </c>
      <c r="AJ124" s="3">
        <f t="shared" si="70"/>
        <v>38.208955223880594</v>
      </c>
      <c r="AK124">
        <v>42</v>
      </c>
      <c r="AL124" s="3">
        <f t="shared" si="71"/>
        <v>6.2686567164179108</v>
      </c>
      <c r="AM124">
        <v>21</v>
      </c>
      <c r="AN124" s="3">
        <f t="shared" si="72"/>
        <v>3.1343283582089554</v>
      </c>
      <c r="AO124">
        <v>6</v>
      </c>
      <c r="AP124" s="3">
        <f t="shared" si="73"/>
        <v>0.89552238805970152</v>
      </c>
      <c r="AQ124">
        <v>10</v>
      </c>
      <c r="AR124" s="3">
        <f t="shared" si="74"/>
        <v>1.4925373134328359</v>
      </c>
      <c r="AS124">
        <v>15</v>
      </c>
      <c r="AT124" s="3">
        <f t="shared" si="75"/>
        <v>2.2388059701492535</v>
      </c>
      <c r="AU124">
        <v>0</v>
      </c>
      <c r="AV124" s="3">
        <f t="shared" si="76"/>
        <v>0</v>
      </c>
      <c r="AW124">
        <v>3</v>
      </c>
      <c r="AX124" s="3">
        <f t="shared" si="77"/>
        <v>0.44776119402985076</v>
      </c>
      <c r="AY124">
        <v>8</v>
      </c>
      <c r="AZ124" s="3">
        <f t="shared" si="78"/>
        <v>1.1940298507462686</v>
      </c>
      <c r="BA124">
        <v>19</v>
      </c>
      <c r="BB124" s="3">
        <f t="shared" si="79"/>
        <v>2.8358208955223883</v>
      </c>
      <c r="BC124" t="s">
        <v>315</v>
      </c>
      <c r="BD124" s="72">
        <v>2017</v>
      </c>
      <c r="BE124" s="1">
        <v>1</v>
      </c>
      <c r="BF124"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97.755244755244775</v>
      </c>
      <c r="BG124" s="10">
        <f>2*(Дума_партии[[#This Row],[5. Всероссийская политическая партия "ЕДИНАЯ РОССИЯ"]]-(AB$203/100)*Дума_партии[[#This Row],[Число действительных избирательных бюллетеней]])</f>
        <v>139.79000000000002</v>
      </c>
      <c r="BH124" s="10">
        <f>(Дума_партии[[#This Row],[Вброс]]+Дума_партии[[#This Row],[Перекладывание]])/2</f>
        <v>118.7726223776224</v>
      </c>
    </row>
    <row r="125" spans="1:60" x14ac:dyDescent="0.4">
      <c r="A125" t="s">
        <v>49</v>
      </c>
      <c r="B125" t="s">
        <v>50</v>
      </c>
      <c r="C125" t="s">
        <v>51</v>
      </c>
      <c r="D125" t="s">
        <v>227</v>
      </c>
      <c r="E125" t="s">
        <v>253</v>
      </c>
      <c r="F125" s="8">
        <f t="shared" ca="1" si="60"/>
        <v>1985</v>
      </c>
      <c r="G125" s="1" t="s">
        <v>349</v>
      </c>
      <c r="H125" s="1" t="str">
        <f>LEFT(Дума_партии[[#This Row],[tik]],4)&amp;"."&amp;IF(ISNUMBER(VALUE(RIGHT(Дума_партии[[#This Row],[tik]]))),RIGHT(Дума_партии[[#This Row],[tik]]),"")</f>
        <v>Один.2</v>
      </c>
      <c r="I125">
        <v>2023</v>
      </c>
      <c r="J125" s="8">
        <f>Дума_партии[[#This Row],[Число избирателей, внесенных в список избирателей на момент окончания голосования]]</f>
        <v>2023</v>
      </c>
      <c r="K125">
        <v>1800</v>
      </c>
      <c r="L125">
        <v>0</v>
      </c>
      <c r="M125">
        <v>716</v>
      </c>
      <c r="N125">
        <v>9</v>
      </c>
      <c r="O125" s="3">
        <f t="shared" si="61"/>
        <v>35.837864557587743</v>
      </c>
      <c r="P125" s="3">
        <f t="shared" si="62"/>
        <v>0.44488383588729608</v>
      </c>
      <c r="Q125">
        <v>1075</v>
      </c>
      <c r="R125">
        <v>9</v>
      </c>
      <c r="S125">
        <v>711</v>
      </c>
      <c r="T125" s="1">
        <f t="shared" si="63"/>
        <v>720</v>
      </c>
      <c r="U125" s="3">
        <f t="shared" si="64"/>
        <v>1.25</v>
      </c>
      <c r="V125">
        <v>23</v>
      </c>
      <c r="W125" s="3">
        <f t="shared" si="65"/>
        <v>3.1944444444444446</v>
      </c>
      <c r="X125">
        <v>697</v>
      </c>
      <c r="Y125">
        <v>0</v>
      </c>
      <c r="Z125">
        <v>0</v>
      </c>
      <c r="AA125">
        <v>172</v>
      </c>
      <c r="AB125" s="3">
        <f t="shared" si="66"/>
        <v>23.888888888888889</v>
      </c>
      <c r="AC125">
        <v>16</v>
      </c>
      <c r="AD125" s="3">
        <f t="shared" si="67"/>
        <v>2.2222222222222223</v>
      </c>
      <c r="AE125">
        <v>58</v>
      </c>
      <c r="AF125" s="3">
        <f t="shared" si="68"/>
        <v>8.0555555555555554</v>
      </c>
      <c r="AG125">
        <v>57</v>
      </c>
      <c r="AH125" s="3">
        <f t="shared" si="69"/>
        <v>7.916666666666667</v>
      </c>
      <c r="AI125">
        <v>211</v>
      </c>
      <c r="AJ125" s="3">
        <f t="shared" si="70"/>
        <v>29.305555555555557</v>
      </c>
      <c r="AK125">
        <v>74</v>
      </c>
      <c r="AL125" s="3">
        <f t="shared" si="71"/>
        <v>10.277777777777779</v>
      </c>
      <c r="AM125">
        <v>21</v>
      </c>
      <c r="AN125" s="3">
        <f t="shared" si="72"/>
        <v>2.9166666666666665</v>
      </c>
      <c r="AO125">
        <v>7</v>
      </c>
      <c r="AP125" s="3">
        <f t="shared" si="73"/>
        <v>0.97222222222222221</v>
      </c>
      <c r="AQ125">
        <v>11</v>
      </c>
      <c r="AR125" s="3">
        <f t="shared" si="74"/>
        <v>1.5277777777777777</v>
      </c>
      <c r="AS125">
        <v>13</v>
      </c>
      <c r="AT125" s="3">
        <f t="shared" si="75"/>
        <v>1.8055555555555556</v>
      </c>
      <c r="AU125">
        <v>2</v>
      </c>
      <c r="AV125" s="3">
        <f t="shared" si="76"/>
        <v>0.27777777777777779</v>
      </c>
      <c r="AW125">
        <v>13</v>
      </c>
      <c r="AX125" s="3">
        <f t="shared" si="77"/>
        <v>1.8055555555555556</v>
      </c>
      <c r="AY125">
        <v>14</v>
      </c>
      <c r="AZ125" s="3">
        <f t="shared" si="78"/>
        <v>1.9444444444444444</v>
      </c>
      <c r="BA125">
        <v>28</v>
      </c>
      <c r="BB125" s="3">
        <f t="shared" si="79"/>
        <v>3.8888888888888888</v>
      </c>
      <c r="BC125" t="s">
        <v>315</v>
      </c>
      <c r="BD125" s="72">
        <v>2017</v>
      </c>
      <c r="BE125" s="1"/>
      <c r="BF125"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17.279720279720323</v>
      </c>
      <c r="BG125" s="10">
        <f>2*(Дума_партии[[#This Row],[5. Всероссийская политическая партия "ЕДИНАЯ РОССИЯ"]]-(AB$203/100)*Дума_партии[[#This Row],[Число действительных избирательных бюллетеней]])</f>
        <v>24.710000000000036</v>
      </c>
      <c r="BH125" s="10">
        <f>(Дума_партии[[#This Row],[Вброс]]+Дума_партии[[#This Row],[Перекладывание]])/2</f>
        <v>20.99486013986018</v>
      </c>
    </row>
    <row r="126" spans="1:60" x14ac:dyDescent="0.4">
      <c r="A126" t="s">
        <v>49</v>
      </c>
      <c r="B126" t="s">
        <v>50</v>
      </c>
      <c r="C126" t="s">
        <v>51</v>
      </c>
      <c r="D126" t="s">
        <v>227</v>
      </c>
      <c r="E126" t="s">
        <v>254</v>
      </c>
      <c r="F126" s="8">
        <f t="shared" ca="1" si="60"/>
        <v>1987</v>
      </c>
      <c r="G126" s="1" t="s">
        <v>349</v>
      </c>
      <c r="H126" s="1" t="str">
        <f>LEFT(Дума_партии[[#This Row],[tik]],4)&amp;"."&amp;IF(ISNUMBER(VALUE(RIGHT(Дума_партии[[#This Row],[tik]]))),RIGHT(Дума_партии[[#This Row],[tik]]),"")</f>
        <v>Один.2</v>
      </c>
      <c r="I126">
        <v>2060</v>
      </c>
      <c r="J126" s="8">
        <f>Дума_партии[[#This Row],[Число избирателей, внесенных в список избирателей на момент окончания голосования]]</f>
        <v>2060</v>
      </c>
      <c r="K126">
        <v>1500</v>
      </c>
      <c r="L126">
        <v>0</v>
      </c>
      <c r="M126">
        <v>812</v>
      </c>
      <c r="N126">
        <v>78</v>
      </c>
      <c r="O126" s="3">
        <f t="shared" si="61"/>
        <v>43.203883495145632</v>
      </c>
      <c r="P126" s="3">
        <f t="shared" si="62"/>
        <v>3.7864077669902914</v>
      </c>
      <c r="Q126">
        <v>610</v>
      </c>
      <c r="R126">
        <v>78</v>
      </c>
      <c r="S126">
        <v>734</v>
      </c>
      <c r="T126" s="1">
        <f t="shared" si="63"/>
        <v>812</v>
      </c>
      <c r="U126" s="3">
        <f t="shared" si="64"/>
        <v>9.6059113300492616</v>
      </c>
      <c r="V126">
        <v>19</v>
      </c>
      <c r="W126" s="3">
        <f t="shared" si="65"/>
        <v>2.3399014778325125</v>
      </c>
      <c r="X126">
        <v>793</v>
      </c>
      <c r="Y126">
        <v>0</v>
      </c>
      <c r="Z126">
        <v>0</v>
      </c>
      <c r="AA126">
        <v>217</v>
      </c>
      <c r="AB126" s="3">
        <f t="shared" si="66"/>
        <v>26.724137931034484</v>
      </c>
      <c r="AC126">
        <v>9</v>
      </c>
      <c r="AD126" s="3">
        <f t="shared" si="67"/>
        <v>1.1083743842364533</v>
      </c>
      <c r="AE126">
        <v>50</v>
      </c>
      <c r="AF126" s="3">
        <f t="shared" si="68"/>
        <v>6.1576354679802954</v>
      </c>
      <c r="AG126">
        <v>52</v>
      </c>
      <c r="AH126" s="3">
        <f t="shared" si="69"/>
        <v>6.4039408866995071</v>
      </c>
      <c r="AI126">
        <v>283</v>
      </c>
      <c r="AJ126" s="3">
        <f t="shared" si="70"/>
        <v>34.85221674876847</v>
      </c>
      <c r="AK126">
        <v>83</v>
      </c>
      <c r="AL126" s="3">
        <f t="shared" si="71"/>
        <v>10.22167487684729</v>
      </c>
      <c r="AM126">
        <v>25</v>
      </c>
      <c r="AN126" s="3">
        <f t="shared" si="72"/>
        <v>3.0788177339901477</v>
      </c>
      <c r="AO126">
        <v>9</v>
      </c>
      <c r="AP126" s="3">
        <f t="shared" si="73"/>
        <v>1.1083743842364533</v>
      </c>
      <c r="AQ126">
        <v>9</v>
      </c>
      <c r="AR126" s="3">
        <f t="shared" si="74"/>
        <v>1.1083743842364533</v>
      </c>
      <c r="AS126">
        <v>8</v>
      </c>
      <c r="AT126" s="3">
        <f t="shared" si="75"/>
        <v>0.98522167487684731</v>
      </c>
      <c r="AU126">
        <v>0</v>
      </c>
      <c r="AV126" s="3">
        <f t="shared" si="76"/>
        <v>0</v>
      </c>
      <c r="AW126">
        <v>9</v>
      </c>
      <c r="AX126" s="3">
        <f t="shared" si="77"/>
        <v>1.1083743842364533</v>
      </c>
      <c r="AY126">
        <v>9</v>
      </c>
      <c r="AZ126" s="3">
        <f t="shared" si="78"/>
        <v>1.1083743842364533</v>
      </c>
      <c r="BA126">
        <v>30</v>
      </c>
      <c r="BB126" s="3">
        <f t="shared" si="79"/>
        <v>3.6945812807881775</v>
      </c>
      <c r="BC126" t="s">
        <v>315</v>
      </c>
      <c r="BD126" s="72">
        <v>2017</v>
      </c>
      <c r="BE126" s="1">
        <v>2</v>
      </c>
      <c r="BF126"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79.713286713286749</v>
      </c>
      <c r="BG126" s="10">
        <f>2*(Дума_партии[[#This Row],[5. Всероссийская политическая партия "ЕДИНАЯ РОССИЯ"]]-(AB$203/100)*Дума_партии[[#This Row],[Число действительных избирательных бюллетеней]])</f>
        <v>113.99000000000007</v>
      </c>
      <c r="BH126" s="10">
        <f>(Дума_партии[[#This Row],[Вброс]]+Дума_партии[[#This Row],[Перекладывание]])/2</f>
        <v>96.851643356643407</v>
      </c>
    </row>
    <row r="127" spans="1:60" x14ac:dyDescent="0.4">
      <c r="A127" t="s">
        <v>49</v>
      </c>
      <c r="B127" t="s">
        <v>50</v>
      </c>
      <c r="C127" t="s">
        <v>51</v>
      </c>
      <c r="D127" t="s">
        <v>227</v>
      </c>
      <c r="E127" t="s">
        <v>255</v>
      </c>
      <c r="F127" s="8">
        <f t="shared" ca="1" si="60"/>
        <v>1989</v>
      </c>
      <c r="G127" s="1" t="s">
        <v>349</v>
      </c>
      <c r="H127" s="1" t="str">
        <f>LEFT(Дума_партии[[#This Row],[tik]],4)&amp;"."&amp;IF(ISNUMBER(VALUE(RIGHT(Дума_партии[[#This Row],[tik]]))),RIGHT(Дума_партии[[#This Row],[tik]]),"")</f>
        <v>Один.2</v>
      </c>
      <c r="I127">
        <v>1748</v>
      </c>
      <c r="J127" s="8">
        <f>Дума_партии[[#This Row],[Число избирателей, внесенных в список избирателей на момент окончания голосования]]</f>
        <v>1748</v>
      </c>
      <c r="K127">
        <v>1500</v>
      </c>
      <c r="L127">
        <v>0</v>
      </c>
      <c r="M127">
        <v>634</v>
      </c>
      <c r="N127">
        <v>75</v>
      </c>
      <c r="O127" s="3">
        <f t="shared" si="61"/>
        <v>40.560640732265448</v>
      </c>
      <c r="P127" s="3">
        <f t="shared" si="62"/>
        <v>4.2906178489702516</v>
      </c>
      <c r="Q127">
        <v>790</v>
      </c>
      <c r="R127">
        <v>74</v>
      </c>
      <c r="S127">
        <v>634</v>
      </c>
      <c r="T127" s="1">
        <f t="shared" si="63"/>
        <v>708</v>
      </c>
      <c r="U127" s="3">
        <f t="shared" si="64"/>
        <v>10.451977401129943</v>
      </c>
      <c r="V127">
        <v>48</v>
      </c>
      <c r="W127" s="3">
        <f t="shared" si="65"/>
        <v>6.7796610169491522</v>
      </c>
      <c r="X127">
        <v>660</v>
      </c>
      <c r="Y127">
        <v>1</v>
      </c>
      <c r="Z127">
        <v>0</v>
      </c>
      <c r="AA127">
        <v>169</v>
      </c>
      <c r="AB127" s="3">
        <f t="shared" si="66"/>
        <v>23.870056497175142</v>
      </c>
      <c r="AC127">
        <v>10</v>
      </c>
      <c r="AD127" s="3">
        <f t="shared" si="67"/>
        <v>1.4124293785310735</v>
      </c>
      <c r="AE127">
        <v>51</v>
      </c>
      <c r="AF127" s="3">
        <f t="shared" si="68"/>
        <v>7.2033898305084749</v>
      </c>
      <c r="AG127">
        <v>51</v>
      </c>
      <c r="AH127" s="3">
        <f t="shared" si="69"/>
        <v>7.2033898305084749</v>
      </c>
      <c r="AI127">
        <v>211</v>
      </c>
      <c r="AJ127" s="3">
        <f t="shared" si="70"/>
        <v>29.802259887005651</v>
      </c>
      <c r="AK127">
        <v>69</v>
      </c>
      <c r="AL127" s="3">
        <f t="shared" si="71"/>
        <v>9.7457627118644066</v>
      </c>
      <c r="AM127">
        <v>20</v>
      </c>
      <c r="AN127" s="3">
        <f t="shared" si="72"/>
        <v>2.8248587570621471</v>
      </c>
      <c r="AO127">
        <v>3</v>
      </c>
      <c r="AP127" s="3">
        <f t="shared" si="73"/>
        <v>0.42372881355932202</v>
      </c>
      <c r="AQ127">
        <v>15</v>
      </c>
      <c r="AR127" s="3">
        <f t="shared" si="74"/>
        <v>2.1186440677966103</v>
      </c>
      <c r="AS127">
        <v>11</v>
      </c>
      <c r="AT127" s="3">
        <f t="shared" si="75"/>
        <v>1.5536723163841808</v>
      </c>
      <c r="AU127">
        <v>0</v>
      </c>
      <c r="AV127" s="3">
        <f t="shared" si="76"/>
        <v>0</v>
      </c>
      <c r="AW127">
        <v>4</v>
      </c>
      <c r="AX127" s="3">
        <f t="shared" si="77"/>
        <v>0.56497175141242939</v>
      </c>
      <c r="AY127">
        <v>13</v>
      </c>
      <c r="AZ127" s="3">
        <f t="shared" si="78"/>
        <v>1.8361581920903955</v>
      </c>
      <c r="BA127">
        <v>33</v>
      </c>
      <c r="BB127" s="3">
        <f t="shared" si="79"/>
        <v>4.6610169491525424</v>
      </c>
      <c r="BC127" t="s">
        <v>315</v>
      </c>
      <c r="BD127" s="72">
        <v>2017</v>
      </c>
      <c r="BE127" s="1"/>
      <c r="BF127"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32.027972027972055</v>
      </c>
      <c r="BG127" s="10">
        <f>2*(Дума_партии[[#This Row],[5. Всероссийская политическая партия "ЕДИНАЯ РОССИЯ"]]-(AB$203/100)*Дума_партии[[#This Row],[Число действительных избирательных бюллетеней]])</f>
        <v>45.800000000000011</v>
      </c>
      <c r="BH127" s="10">
        <f>(Дума_партии[[#This Row],[Вброс]]+Дума_партии[[#This Row],[Перекладывание]])/2</f>
        <v>38.913986013986033</v>
      </c>
    </row>
    <row r="128" spans="1:60" x14ac:dyDescent="0.4">
      <c r="A128" t="s">
        <v>49</v>
      </c>
      <c r="B128" t="s">
        <v>50</v>
      </c>
      <c r="C128" t="s">
        <v>51</v>
      </c>
      <c r="D128" t="s">
        <v>227</v>
      </c>
      <c r="E128" t="s">
        <v>256</v>
      </c>
      <c r="F128" s="8">
        <f t="shared" ca="1" si="60"/>
        <v>1991</v>
      </c>
      <c r="G128" s="1" t="s">
        <v>349</v>
      </c>
      <c r="H128" s="1" t="str">
        <f>LEFT(Дума_партии[[#This Row],[tik]],4)&amp;"."&amp;IF(ISNUMBER(VALUE(RIGHT(Дума_партии[[#This Row],[tik]]))),RIGHT(Дума_партии[[#This Row],[tik]]),"")</f>
        <v>Один.2</v>
      </c>
      <c r="I128">
        <v>2293</v>
      </c>
      <c r="J128" s="8">
        <f>Дума_партии[[#This Row],[Число избирателей, внесенных в список избирателей на момент окончания голосования]]</f>
        <v>2293</v>
      </c>
      <c r="K128">
        <v>2000</v>
      </c>
      <c r="L128">
        <v>0</v>
      </c>
      <c r="M128">
        <v>794</v>
      </c>
      <c r="N128">
        <v>33</v>
      </c>
      <c r="O128" s="3">
        <f t="shared" si="61"/>
        <v>36.066288704753596</v>
      </c>
      <c r="P128" s="3">
        <f t="shared" si="62"/>
        <v>1.439162668992586</v>
      </c>
      <c r="Q128">
        <v>1173</v>
      </c>
      <c r="R128">
        <v>33</v>
      </c>
      <c r="S128">
        <v>794</v>
      </c>
      <c r="T128" s="1">
        <f t="shared" si="63"/>
        <v>827</v>
      </c>
      <c r="U128" s="3">
        <f t="shared" si="64"/>
        <v>3.9903264812575574</v>
      </c>
      <c r="V128">
        <v>19</v>
      </c>
      <c r="W128" s="3">
        <f t="shared" si="65"/>
        <v>2.2974607013301087</v>
      </c>
      <c r="X128">
        <v>808</v>
      </c>
      <c r="Y128">
        <v>0</v>
      </c>
      <c r="Z128">
        <v>0</v>
      </c>
      <c r="AA128">
        <v>200</v>
      </c>
      <c r="AB128" s="3">
        <f t="shared" si="66"/>
        <v>24.183796856106408</v>
      </c>
      <c r="AC128">
        <v>17</v>
      </c>
      <c r="AD128" s="3">
        <f t="shared" si="67"/>
        <v>2.0556227327690446</v>
      </c>
      <c r="AE128">
        <v>59</v>
      </c>
      <c r="AF128" s="3">
        <f t="shared" si="68"/>
        <v>7.1342200725513907</v>
      </c>
      <c r="AG128">
        <v>78</v>
      </c>
      <c r="AH128" s="3">
        <f t="shared" si="69"/>
        <v>9.4316807738814994</v>
      </c>
      <c r="AI128">
        <v>224</v>
      </c>
      <c r="AJ128" s="3">
        <f t="shared" si="70"/>
        <v>27.085852478839179</v>
      </c>
      <c r="AK128">
        <v>88</v>
      </c>
      <c r="AL128" s="3">
        <f t="shared" si="71"/>
        <v>10.64087061668682</v>
      </c>
      <c r="AM128">
        <v>29</v>
      </c>
      <c r="AN128" s="3">
        <f t="shared" si="72"/>
        <v>3.5066505441354292</v>
      </c>
      <c r="AO128">
        <v>4</v>
      </c>
      <c r="AP128" s="3">
        <f t="shared" si="73"/>
        <v>0.4836759371221282</v>
      </c>
      <c r="AQ128">
        <v>16</v>
      </c>
      <c r="AR128" s="3">
        <f t="shared" si="74"/>
        <v>1.9347037484885128</v>
      </c>
      <c r="AS128">
        <v>14</v>
      </c>
      <c r="AT128" s="3">
        <f t="shared" si="75"/>
        <v>1.6928657799274487</v>
      </c>
      <c r="AU128">
        <v>3</v>
      </c>
      <c r="AV128" s="3">
        <f t="shared" si="76"/>
        <v>0.36275695284159615</v>
      </c>
      <c r="AW128">
        <v>12</v>
      </c>
      <c r="AX128" s="3">
        <f t="shared" si="77"/>
        <v>1.4510278113663846</v>
      </c>
      <c r="AY128">
        <v>17</v>
      </c>
      <c r="AZ128" s="3">
        <f t="shared" si="78"/>
        <v>2.0556227327690446</v>
      </c>
      <c r="BA128">
        <v>47</v>
      </c>
      <c r="BB128" s="3">
        <f t="shared" si="79"/>
        <v>5.6831922611850061</v>
      </c>
      <c r="BC128" t="s">
        <v>315</v>
      </c>
      <c r="BD128" s="72">
        <v>2017</v>
      </c>
      <c r="BE128" s="1"/>
      <c r="BF128"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-8.7832167832167443</v>
      </c>
      <c r="BG128" s="10">
        <f>2*(Дума_партии[[#This Row],[5. Всероссийская политическая партия "ЕДИНАЯ РОССИЯ"]]-(AB$203/100)*Дума_партии[[#This Row],[Число действительных избирательных бюллетеней]])</f>
        <v>-12.559999999999945</v>
      </c>
      <c r="BH128" s="10">
        <f>(Дума_партии[[#This Row],[Вброс]]+Дума_партии[[#This Row],[Перекладывание]])/2</f>
        <v>-10.671608391608345</v>
      </c>
    </row>
    <row r="129" spans="1:60" x14ac:dyDescent="0.4">
      <c r="A129" t="s">
        <v>49</v>
      </c>
      <c r="B129" t="s">
        <v>50</v>
      </c>
      <c r="C129" t="s">
        <v>51</v>
      </c>
      <c r="D129" t="s">
        <v>227</v>
      </c>
      <c r="E129" t="s">
        <v>257</v>
      </c>
      <c r="F129" s="8">
        <f t="shared" ca="1" si="60"/>
        <v>1993</v>
      </c>
      <c r="G129" s="1" t="s">
        <v>349</v>
      </c>
      <c r="H129" s="1" t="str">
        <f>LEFT(Дума_партии[[#This Row],[tik]],4)&amp;"."&amp;IF(ISNUMBER(VALUE(RIGHT(Дума_партии[[#This Row],[tik]]))),RIGHT(Дума_партии[[#This Row],[tik]]),"")</f>
        <v>Один.2</v>
      </c>
      <c r="I129">
        <v>2164</v>
      </c>
      <c r="J129" s="8">
        <f>Дума_партии[[#This Row],[Число избирателей, внесенных в список избирателей на момент окончания голосования]]</f>
        <v>2164</v>
      </c>
      <c r="K129">
        <v>2000</v>
      </c>
      <c r="L129">
        <v>0</v>
      </c>
      <c r="M129">
        <v>733</v>
      </c>
      <c r="N129">
        <v>4</v>
      </c>
      <c r="O129" s="3">
        <f t="shared" si="61"/>
        <v>34.057301293900181</v>
      </c>
      <c r="P129" s="3">
        <f t="shared" si="62"/>
        <v>0.18484288354898337</v>
      </c>
      <c r="Q129">
        <v>1263</v>
      </c>
      <c r="R129">
        <v>4</v>
      </c>
      <c r="S129">
        <v>733</v>
      </c>
      <c r="T129" s="1">
        <f t="shared" si="63"/>
        <v>737</v>
      </c>
      <c r="U129" s="3">
        <f t="shared" si="64"/>
        <v>0.54274084124830391</v>
      </c>
      <c r="V129">
        <v>35</v>
      </c>
      <c r="W129" s="3">
        <f t="shared" si="65"/>
        <v>4.7489823609226596</v>
      </c>
      <c r="X129">
        <v>702</v>
      </c>
      <c r="Y129">
        <v>0</v>
      </c>
      <c r="Z129">
        <v>0</v>
      </c>
      <c r="AA129">
        <v>205</v>
      </c>
      <c r="AB129" s="3">
        <f t="shared" si="66"/>
        <v>27.815468113975577</v>
      </c>
      <c r="AC129">
        <v>12</v>
      </c>
      <c r="AD129" s="3">
        <f t="shared" si="67"/>
        <v>1.6282225237449117</v>
      </c>
      <c r="AE129">
        <v>44</v>
      </c>
      <c r="AF129" s="3">
        <f t="shared" si="68"/>
        <v>5.9701492537313436</v>
      </c>
      <c r="AG129">
        <v>70</v>
      </c>
      <c r="AH129" s="3">
        <f t="shared" si="69"/>
        <v>9.4979647218453191</v>
      </c>
      <c r="AI129">
        <v>187</v>
      </c>
      <c r="AJ129" s="3">
        <f t="shared" si="70"/>
        <v>25.373134328358208</v>
      </c>
      <c r="AK129">
        <v>88</v>
      </c>
      <c r="AL129" s="3">
        <f t="shared" si="71"/>
        <v>11.940298507462687</v>
      </c>
      <c r="AM129">
        <v>24</v>
      </c>
      <c r="AN129" s="3">
        <f t="shared" si="72"/>
        <v>3.2564450474898234</v>
      </c>
      <c r="AO129">
        <v>1</v>
      </c>
      <c r="AP129" s="3">
        <f t="shared" si="73"/>
        <v>0.13568521031207598</v>
      </c>
      <c r="AQ129">
        <v>8</v>
      </c>
      <c r="AR129" s="3">
        <f t="shared" si="74"/>
        <v>1.0854816824966078</v>
      </c>
      <c r="AS129">
        <v>13</v>
      </c>
      <c r="AT129" s="3">
        <f t="shared" si="75"/>
        <v>1.7639077340569878</v>
      </c>
      <c r="AU129">
        <v>0</v>
      </c>
      <c r="AV129" s="3">
        <f t="shared" si="76"/>
        <v>0</v>
      </c>
      <c r="AW129">
        <v>3</v>
      </c>
      <c r="AX129" s="3">
        <f t="shared" si="77"/>
        <v>0.40705563093622793</v>
      </c>
      <c r="AY129">
        <v>13</v>
      </c>
      <c r="AZ129" s="3">
        <f t="shared" si="78"/>
        <v>1.7639077340569878</v>
      </c>
      <c r="BA129">
        <v>34</v>
      </c>
      <c r="BB129" s="3">
        <f t="shared" si="79"/>
        <v>4.6132971506105838</v>
      </c>
      <c r="BC129" t="s">
        <v>315</v>
      </c>
      <c r="BD129" s="72">
        <v>2017</v>
      </c>
      <c r="BE129" s="1"/>
      <c r="BF129"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-18.279720279720237</v>
      </c>
      <c r="BG129" s="10">
        <f>2*(Дума_партии[[#This Row],[5. Всероссийская политическая партия "ЕДИНАЯ РОССИЯ"]]-(AB$203/100)*Дума_партии[[#This Row],[Число действительных избирательных бюллетеней]])</f>
        <v>-26.139999999999986</v>
      </c>
      <c r="BH129" s="10">
        <f>(Дума_партии[[#This Row],[Вброс]]+Дума_партии[[#This Row],[Перекладывание]])/2</f>
        <v>-22.209860139860112</v>
      </c>
    </row>
    <row r="130" spans="1:60" x14ac:dyDescent="0.4">
      <c r="A130" t="s">
        <v>49</v>
      </c>
      <c r="B130" t="s">
        <v>50</v>
      </c>
      <c r="C130" t="s">
        <v>51</v>
      </c>
      <c r="D130" t="s">
        <v>227</v>
      </c>
      <c r="E130" t="s">
        <v>258</v>
      </c>
      <c r="F130" s="8">
        <f t="shared" ref="F130:F161" ca="1" si="80">SUMPRODUCT(MID(0&amp;E130, LARGE(INDEX(ISNUMBER(--MID(E130, ROW(INDIRECT("1:"&amp;LEN(E130))), 1)) * ROW(INDIRECT("1:"&amp;LEN(E130))), 0), ROW(INDIRECT("1:"&amp;LEN(E130))))+1, 1) * 10^ROW(INDIRECT("1:"&amp;LEN(E130)))/10)</f>
        <v>1995</v>
      </c>
      <c r="G130" s="1" t="s">
        <v>349</v>
      </c>
      <c r="H130" s="1" t="str">
        <f>LEFT(Дума_партии[[#This Row],[tik]],4)&amp;"."&amp;IF(ISNUMBER(VALUE(RIGHT(Дума_партии[[#This Row],[tik]]))),RIGHT(Дума_партии[[#This Row],[tik]]),"")</f>
        <v>Один.2</v>
      </c>
      <c r="I130">
        <v>1987</v>
      </c>
      <c r="J130" s="8">
        <f>Дума_партии[[#This Row],[Число избирателей, внесенных в список избирателей на момент окончания голосования]]</f>
        <v>1987</v>
      </c>
      <c r="K130">
        <v>1500</v>
      </c>
      <c r="L130">
        <v>0</v>
      </c>
      <c r="M130">
        <v>717</v>
      </c>
      <c r="N130">
        <v>4</v>
      </c>
      <c r="O130" s="3">
        <f t="shared" ref="O130:O161" si="81">100*(M130+N130)/I130</f>
        <v>36.285858077503775</v>
      </c>
      <c r="P130" s="3">
        <f t="shared" ref="P130:P161" si="82">100*N130/I130</f>
        <v>0.20130850528434827</v>
      </c>
      <c r="Q130">
        <v>779</v>
      </c>
      <c r="R130">
        <v>4</v>
      </c>
      <c r="S130">
        <v>717</v>
      </c>
      <c r="T130" s="1">
        <f t="shared" ref="T130:T161" si="83">R130+S130</f>
        <v>721</v>
      </c>
      <c r="U130" s="3">
        <f t="shared" ref="U130:U161" si="84">100*R130/T130</f>
        <v>0.55478502080443826</v>
      </c>
      <c r="V130">
        <v>71</v>
      </c>
      <c r="W130" s="3">
        <f t="shared" ref="W130:W161" si="85">100*V130/T130</f>
        <v>9.8474341192787787</v>
      </c>
      <c r="X130">
        <v>650</v>
      </c>
      <c r="Y130">
        <v>0</v>
      </c>
      <c r="Z130">
        <v>0</v>
      </c>
      <c r="AA130">
        <v>189</v>
      </c>
      <c r="AB130" s="3">
        <f t="shared" ref="AB130:AB161" si="86">100*AA130/$T130</f>
        <v>26.21359223300971</v>
      </c>
      <c r="AC130">
        <v>11</v>
      </c>
      <c r="AD130" s="3">
        <f t="shared" ref="AD130:AD161" si="87">100*AC130/$T130</f>
        <v>1.5256588072122053</v>
      </c>
      <c r="AE130">
        <v>32</v>
      </c>
      <c r="AF130" s="3">
        <f t="shared" ref="AF130:AF161" si="88">100*AE130/$T130</f>
        <v>4.438280166435506</v>
      </c>
      <c r="AG130">
        <v>84</v>
      </c>
      <c r="AH130" s="3">
        <f t="shared" ref="AH130:AH161" si="89">100*AG130/$T130</f>
        <v>11.650485436893204</v>
      </c>
      <c r="AI130">
        <v>165</v>
      </c>
      <c r="AJ130" s="3">
        <f t="shared" ref="AJ130:AJ161" si="90">100*AI130/$T130</f>
        <v>22.884882108183078</v>
      </c>
      <c r="AK130">
        <v>65</v>
      </c>
      <c r="AL130" s="3">
        <f t="shared" ref="AL130:AL161" si="91">100*AK130/$T130</f>
        <v>9.0152565880721216</v>
      </c>
      <c r="AM130">
        <v>30</v>
      </c>
      <c r="AN130" s="3">
        <f t="shared" ref="AN130:AN161" si="92">100*AM130/$T130</f>
        <v>4.160887656033287</v>
      </c>
      <c r="AO130">
        <v>7</v>
      </c>
      <c r="AP130" s="3">
        <f t="shared" ref="AP130:AP161" si="93">100*AO130/$T130</f>
        <v>0.970873786407767</v>
      </c>
      <c r="AQ130">
        <v>12</v>
      </c>
      <c r="AR130" s="3">
        <f t="shared" ref="AR130:AR161" si="94">100*AQ130/$T130</f>
        <v>1.6643550624133148</v>
      </c>
      <c r="AS130">
        <v>11</v>
      </c>
      <c r="AT130" s="3">
        <f t="shared" ref="AT130:AT161" si="95">100*AS130/$T130</f>
        <v>1.5256588072122053</v>
      </c>
      <c r="AU130">
        <v>0</v>
      </c>
      <c r="AV130" s="3">
        <f t="shared" ref="AV130:AV161" si="96">100*AU130/$T130</f>
        <v>0</v>
      </c>
      <c r="AW130">
        <v>12</v>
      </c>
      <c r="AX130" s="3">
        <f t="shared" ref="AX130:AX161" si="97">100*AW130/$T130</f>
        <v>1.6643550624133148</v>
      </c>
      <c r="AY130">
        <v>8</v>
      </c>
      <c r="AZ130" s="3">
        <f t="shared" ref="AZ130:AZ161" si="98">100*AY130/$T130</f>
        <v>1.1095700416088765</v>
      </c>
      <c r="BA130">
        <v>24</v>
      </c>
      <c r="BB130" s="3">
        <f t="shared" ref="BB130:BB161" si="99">100*BA130/$T130</f>
        <v>3.3287101248266295</v>
      </c>
      <c r="BC130" t="s">
        <v>315</v>
      </c>
      <c r="BD130" s="72">
        <v>2017</v>
      </c>
      <c r="BE130" s="1"/>
      <c r="BF130"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-28.321678321678291</v>
      </c>
      <c r="BG130" s="10">
        <f>2*(Дума_партии[[#This Row],[5. Всероссийская политическая партия "ЕДИНАЯ РОССИЯ"]]-(AB$203/100)*Дума_партии[[#This Row],[Число действительных избирательных бюллетеней]])</f>
        <v>-40.499999999999943</v>
      </c>
      <c r="BH130" s="10">
        <f>(Дума_партии[[#This Row],[Вброс]]+Дума_партии[[#This Row],[Перекладывание]])/2</f>
        <v>-34.410839160839117</v>
      </c>
    </row>
    <row r="131" spans="1:60" x14ac:dyDescent="0.4">
      <c r="A131" t="s">
        <v>49</v>
      </c>
      <c r="B131" t="s">
        <v>50</v>
      </c>
      <c r="C131" t="s">
        <v>51</v>
      </c>
      <c r="D131" t="s">
        <v>227</v>
      </c>
      <c r="E131" t="s">
        <v>259</v>
      </c>
      <c r="F131" s="8">
        <f t="shared" ca="1" si="80"/>
        <v>1996</v>
      </c>
      <c r="G131" s="1" t="s">
        <v>349</v>
      </c>
      <c r="H131" s="1" t="str">
        <f>LEFT(Дума_партии[[#This Row],[tik]],4)&amp;"."&amp;IF(ISNUMBER(VALUE(RIGHT(Дума_партии[[#This Row],[tik]]))),RIGHT(Дума_партии[[#This Row],[tik]]),"")</f>
        <v>Один.2</v>
      </c>
      <c r="I131">
        <v>1306</v>
      </c>
      <c r="J131" s="8">
        <f>Дума_партии[[#This Row],[Число избирателей, внесенных в список избирателей на момент окончания голосования]]</f>
        <v>1306</v>
      </c>
      <c r="K131">
        <v>1100</v>
      </c>
      <c r="L131">
        <v>0</v>
      </c>
      <c r="M131">
        <v>544</v>
      </c>
      <c r="N131">
        <v>5</v>
      </c>
      <c r="O131" s="3">
        <f t="shared" si="81"/>
        <v>42.036753445635526</v>
      </c>
      <c r="P131" s="3">
        <f t="shared" si="82"/>
        <v>0.38284839203675347</v>
      </c>
      <c r="Q131">
        <v>551</v>
      </c>
      <c r="R131">
        <v>5</v>
      </c>
      <c r="S131">
        <v>544</v>
      </c>
      <c r="T131" s="1">
        <f t="shared" si="83"/>
        <v>549</v>
      </c>
      <c r="U131" s="3">
        <f t="shared" si="84"/>
        <v>0.91074681238615662</v>
      </c>
      <c r="V131">
        <v>9</v>
      </c>
      <c r="W131" s="3">
        <f t="shared" si="85"/>
        <v>1.639344262295082</v>
      </c>
      <c r="X131">
        <v>540</v>
      </c>
      <c r="Y131">
        <v>0</v>
      </c>
      <c r="Z131">
        <v>0</v>
      </c>
      <c r="AA131">
        <v>145</v>
      </c>
      <c r="AB131" s="3">
        <f t="shared" si="86"/>
        <v>26.411657559198542</v>
      </c>
      <c r="AC131">
        <v>9</v>
      </c>
      <c r="AD131" s="3">
        <f t="shared" si="87"/>
        <v>1.639344262295082</v>
      </c>
      <c r="AE131">
        <v>42</v>
      </c>
      <c r="AF131" s="3">
        <f t="shared" si="88"/>
        <v>7.6502732240437155</v>
      </c>
      <c r="AG131">
        <v>42</v>
      </c>
      <c r="AH131" s="3">
        <f t="shared" si="89"/>
        <v>7.6502732240437155</v>
      </c>
      <c r="AI131">
        <v>156</v>
      </c>
      <c r="AJ131" s="3">
        <f t="shared" si="90"/>
        <v>28.415300546448087</v>
      </c>
      <c r="AK131">
        <v>60</v>
      </c>
      <c r="AL131" s="3">
        <f t="shared" si="91"/>
        <v>10.928961748633879</v>
      </c>
      <c r="AM131">
        <v>16</v>
      </c>
      <c r="AN131" s="3">
        <f t="shared" si="92"/>
        <v>2.9143897996357011</v>
      </c>
      <c r="AO131">
        <v>1</v>
      </c>
      <c r="AP131" s="3">
        <f t="shared" si="93"/>
        <v>0.18214936247723132</v>
      </c>
      <c r="AQ131">
        <v>7</v>
      </c>
      <c r="AR131" s="3">
        <f t="shared" si="94"/>
        <v>1.2750455373406193</v>
      </c>
      <c r="AS131">
        <v>11</v>
      </c>
      <c r="AT131" s="3">
        <f t="shared" si="95"/>
        <v>2.0036429872495445</v>
      </c>
      <c r="AU131">
        <v>0</v>
      </c>
      <c r="AV131" s="3">
        <f t="shared" si="96"/>
        <v>0</v>
      </c>
      <c r="AW131">
        <v>7</v>
      </c>
      <c r="AX131" s="3">
        <f t="shared" si="97"/>
        <v>1.2750455373406193</v>
      </c>
      <c r="AY131">
        <v>15</v>
      </c>
      <c r="AZ131" s="3">
        <f t="shared" si="98"/>
        <v>2.7322404371584699</v>
      </c>
      <c r="BA131">
        <v>29</v>
      </c>
      <c r="BB131" s="3">
        <f t="shared" si="99"/>
        <v>5.2823315118397085</v>
      </c>
      <c r="BC131" t="s">
        <v>315</v>
      </c>
      <c r="BD131" s="72">
        <v>2017</v>
      </c>
      <c r="BE131" s="1">
        <v>1</v>
      </c>
      <c r="BF131"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2.9370629370629615</v>
      </c>
      <c r="BG131" s="10">
        <f>2*(Дума_партии[[#This Row],[5. Всероссийская политическая партия "ЕДИНАЯ РОССИЯ"]]-(AB$203/100)*Дума_партии[[#This Row],[Число действительных избирательных бюллетеней]])</f>
        <v>4.2000000000000455</v>
      </c>
      <c r="BH131" s="10">
        <f>(Дума_партии[[#This Row],[Вброс]]+Дума_партии[[#This Row],[Перекладывание]])/2</f>
        <v>3.5685314685315035</v>
      </c>
    </row>
    <row r="132" spans="1:60" x14ac:dyDescent="0.4">
      <c r="A132" t="s">
        <v>49</v>
      </c>
      <c r="B132" t="s">
        <v>50</v>
      </c>
      <c r="C132" t="s">
        <v>51</v>
      </c>
      <c r="D132" t="s">
        <v>227</v>
      </c>
      <c r="E132" t="s">
        <v>260</v>
      </c>
      <c r="F132" s="8">
        <f t="shared" ca="1" si="80"/>
        <v>1997</v>
      </c>
      <c r="G132" s="1" t="s">
        <v>349</v>
      </c>
      <c r="H132" s="1" t="str">
        <f>LEFT(Дума_партии[[#This Row],[tik]],4)&amp;"."&amp;IF(ISNUMBER(VALUE(RIGHT(Дума_партии[[#This Row],[tik]]))),RIGHT(Дума_партии[[#This Row],[tik]]),"")</f>
        <v>Один.2</v>
      </c>
      <c r="I132">
        <v>1453</v>
      </c>
      <c r="J132" s="8">
        <f>Дума_партии[[#This Row],[Число избирателей, внесенных в список избирателей на момент окончания голосования]]</f>
        <v>1453</v>
      </c>
      <c r="K132">
        <v>1100</v>
      </c>
      <c r="L132">
        <v>0</v>
      </c>
      <c r="M132">
        <v>1016</v>
      </c>
      <c r="N132">
        <v>4</v>
      </c>
      <c r="O132" s="3">
        <f t="shared" si="81"/>
        <v>70.199587061252586</v>
      </c>
      <c r="P132" s="3">
        <f t="shared" si="82"/>
        <v>0.27529249827942187</v>
      </c>
      <c r="Q132">
        <v>80</v>
      </c>
      <c r="R132">
        <v>4</v>
      </c>
      <c r="S132">
        <v>423</v>
      </c>
      <c r="T132" s="1">
        <f t="shared" si="83"/>
        <v>427</v>
      </c>
      <c r="U132" s="3">
        <f t="shared" si="84"/>
        <v>0.93676814988290402</v>
      </c>
      <c r="V132">
        <v>9</v>
      </c>
      <c r="W132" s="3">
        <f t="shared" si="85"/>
        <v>2.1077283372365341</v>
      </c>
      <c r="X132">
        <v>418</v>
      </c>
      <c r="Y132">
        <v>0</v>
      </c>
      <c r="Z132">
        <v>0</v>
      </c>
      <c r="AA132">
        <v>127</v>
      </c>
      <c r="AB132" s="3">
        <f t="shared" si="86"/>
        <v>29.742388758782202</v>
      </c>
      <c r="AC132">
        <v>10</v>
      </c>
      <c r="AD132" s="3">
        <f t="shared" si="87"/>
        <v>2.3419203747072599</v>
      </c>
      <c r="AE132">
        <v>29</v>
      </c>
      <c r="AF132" s="3">
        <f t="shared" si="88"/>
        <v>6.7915690866510543</v>
      </c>
      <c r="AG132">
        <v>47</v>
      </c>
      <c r="AH132" s="3">
        <f t="shared" si="89"/>
        <v>11.007025761124122</v>
      </c>
      <c r="AI132">
        <v>107</v>
      </c>
      <c r="AJ132" s="3">
        <f t="shared" si="90"/>
        <v>25.05854800936768</v>
      </c>
      <c r="AK132">
        <v>29</v>
      </c>
      <c r="AL132" s="3">
        <f t="shared" si="91"/>
        <v>6.7915690866510543</v>
      </c>
      <c r="AM132">
        <v>18</v>
      </c>
      <c r="AN132" s="3">
        <f t="shared" si="92"/>
        <v>4.2154566744730682</v>
      </c>
      <c r="AO132">
        <v>4</v>
      </c>
      <c r="AP132" s="3">
        <f t="shared" si="93"/>
        <v>0.93676814988290402</v>
      </c>
      <c r="AQ132">
        <v>5</v>
      </c>
      <c r="AR132" s="3">
        <f t="shared" si="94"/>
        <v>1.1709601873536299</v>
      </c>
      <c r="AS132">
        <v>7</v>
      </c>
      <c r="AT132" s="3">
        <f t="shared" si="95"/>
        <v>1.639344262295082</v>
      </c>
      <c r="AU132">
        <v>1</v>
      </c>
      <c r="AV132" s="3">
        <f t="shared" si="96"/>
        <v>0.23419203747072601</v>
      </c>
      <c r="AW132">
        <v>7</v>
      </c>
      <c r="AX132" s="3">
        <f t="shared" si="97"/>
        <v>1.639344262295082</v>
      </c>
      <c r="AY132">
        <v>12</v>
      </c>
      <c r="AZ132" s="3">
        <f t="shared" si="98"/>
        <v>2.810304449648712</v>
      </c>
      <c r="BA132">
        <v>15</v>
      </c>
      <c r="BB132" s="3">
        <f t="shared" si="99"/>
        <v>3.5128805620608898</v>
      </c>
      <c r="BC132" t="s">
        <v>315</v>
      </c>
      <c r="BD132" s="72">
        <v>2017</v>
      </c>
      <c r="BE132" s="1"/>
      <c r="BF132"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-16.965034965034945</v>
      </c>
      <c r="BG132" s="10">
        <f>2*(Дума_партии[[#This Row],[5. Всероссийская политическая партия "ЕДИНАЯ РОССИЯ"]]-(AB$203/100)*Дума_партии[[#This Row],[Число действительных избирательных бюллетеней]])</f>
        <v>-24.259999999999991</v>
      </c>
      <c r="BH132" s="10">
        <f>(Дума_партии[[#This Row],[Вброс]]+Дума_партии[[#This Row],[Перекладывание]])/2</f>
        <v>-20.612517482517468</v>
      </c>
    </row>
    <row r="133" spans="1:60" x14ac:dyDescent="0.4">
      <c r="A133" t="s">
        <v>49</v>
      </c>
      <c r="B133" t="s">
        <v>50</v>
      </c>
      <c r="C133" t="s">
        <v>51</v>
      </c>
      <c r="D133" t="s">
        <v>227</v>
      </c>
      <c r="E133" t="s">
        <v>261</v>
      </c>
      <c r="F133" s="8">
        <f t="shared" ca="1" si="80"/>
        <v>1998</v>
      </c>
      <c r="G133" s="1" t="s">
        <v>349</v>
      </c>
      <c r="H133" s="1" t="str">
        <f>LEFT(Дума_партии[[#This Row],[tik]],4)&amp;"."&amp;IF(ISNUMBER(VALUE(RIGHT(Дума_партии[[#This Row],[tik]]))),RIGHT(Дума_партии[[#This Row],[tik]]),"")</f>
        <v>Один.2</v>
      </c>
      <c r="I133">
        <v>1542</v>
      </c>
      <c r="J133" s="8">
        <f>Дума_партии[[#This Row],[Число избирателей, внесенных в список избирателей на момент окончания голосования]]</f>
        <v>1542</v>
      </c>
      <c r="K133">
        <v>1200</v>
      </c>
      <c r="L133">
        <v>0</v>
      </c>
      <c r="M133">
        <v>492</v>
      </c>
      <c r="N133">
        <v>1</v>
      </c>
      <c r="O133" s="3">
        <f t="shared" si="81"/>
        <v>31.971465629053178</v>
      </c>
      <c r="P133" s="3">
        <f t="shared" si="82"/>
        <v>6.4850843060959798E-2</v>
      </c>
      <c r="Q133">
        <v>707</v>
      </c>
      <c r="R133">
        <v>1</v>
      </c>
      <c r="S133">
        <v>492</v>
      </c>
      <c r="T133" s="1">
        <f t="shared" si="83"/>
        <v>493</v>
      </c>
      <c r="U133" s="3">
        <f t="shared" si="84"/>
        <v>0.20283975659229209</v>
      </c>
      <c r="V133">
        <v>11</v>
      </c>
      <c r="W133" s="3">
        <f t="shared" si="85"/>
        <v>2.2312373225152129</v>
      </c>
      <c r="X133">
        <v>482</v>
      </c>
      <c r="Y133">
        <v>0</v>
      </c>
      <c r="Z133">
        <v>0</v>
      </c>
      <c r="AA133">
        <v>155</v>
      </c>
      <c r="AB133" s="3">
        <f t="shared" si="86"/>
        <v>31.440162271805274</v>
      </c>
      <c r="AC133">
        <v>13</v>
      </c>
      <c r="AD133" s="3">
        <f t="shared" si="87"/>
        <v>2.6369168356997972</v>
      </c>
      <c r="AE133">
        <v>29</v>
      </c>
      <c r="AF133" s="3">
        <f t="shared" si="88"/>
        <v>5.882352941176471</v>
      </c>
      <c r="AG133">
        <v>36</v>
      </c>
      <c r="AH133" s="3">
        <f t="shared" si="89"/>
        <v>7.3022312373225153</v>
      </c>
      <c r="AI133">
        <v>115</v>
      </c>
      <c r="AJ133" s="3">
        <f t="shared" si="90"/>
        <v>23.32657200811359</v>
      </c>
      <c r="AK133">
        <v>56</v>
      </c>
      <c r="AL133" s="3">
        <f t="shared" si="91"/>
        <v>11.359026369168356</v>
      </c>
      <c r="AM133">
        <v>26</v>
      </c>
      <c r="AN133" s="3">
        <f t="shared" si="92"/>
        <v>5.2738336713995944</v>
      </c>
      <c r="AO133">
        <v>6</v>
      </c>
      <c r="AP133" s="3">
        <f t="shared" si="93"/>
        <v>1.2170385395537526</v>
      </c>
      <c r="AQ133">
        <v>5</v>
      </c>
      <c r="AR133" s="3">
        <f t="shared" si="94"/>
        <v>1.0141987829614605</v>
      </c>
      <c r="AS133">
        <v>10</v>
      </c>
      <c r="AT133" s="3">
        <f t="shared" si="95"/>
        <v>2.028397565922921</v>
      </c>
      <c r="AU133">
        <v>1</v>
      </c>
      <c r="AV133" s="3">
        <f t="shared" si="96"/>
        <v>0.20283975659229209</v>
      </c>
      <c r="AW133">
        <v>7</v>
      </c>
      <c r="AX133" s="3">
        <f t="shared" si="97"/>
        <v>1.4198782961460445</v>
      </c>
      <c r="AY133">
        <v>5</v>
      </c>
      <c r="AZ133" s="3">
        <f t="shared" si="98"/>
        <v>1.0141987829614605</v>
      </c>
      <c r="BA133">
        <v>18</v>
      </c>
      <c r="BB133" s="3">
        <f t="shared" si="99"/>
        <v>3.6511156186612577</v>
      </c>
      <c r="BC133" t="s">
        <v>315</v>
      </c>
      <c r="BD133" s="72">
        <v>2017</v>
      </c>
      <c r="BE133" s="1"/>
      <c r="BF133"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-31.286713286713251</v>
      </c>
      <c r="BG133" s="10">
        <f>2*(Дума_партии[[#This Row],[5. Всероссийская политическая партия "ЕДИНАЯ РОССИЯ"]]-(AB$203/100)*Дума_партии[[#This Row],[Число действительных избирательных бюллетеней]])</f>
        <v>-44.739999999999952</v>
      </c>
      <c r="BH133" s="10">
        <f>(Дума_партии[[#This Row],[Вброс]]+Дума_партии[[#This Row],[Перекладывание]])/2</f>
        <v>-38.013356643356602</v>
      </c>
    </row>
    <row r="134" spans="1:60" x14ac:dyDescent="0.4">
      <c r="A134" t="s">
        <v>49</v>
      </c>
      <c r="B134" t="s">
        <v>50</v>
      </c>
      <c r="C134" t="s">
        <v>51</v>
      </c>
      <c r="D134" t="s">
        <v>227</v>
      </c>
      <c r="E134" t="s">
        <v>262</v>
      </c>
      <c r="F134" s="8">
        <f t="shared" ca="1" si="80"/>
        <v>1999</v>
      </c>
      <c r="G134" s="1" t="s">
        <v>349</v>
      </c>
      <c r="H134" s="1" t="str">
        <f>LEFT(Дума_партии[[#This Row],[tik]],4)&amp;"."&amp;IF(ISNUMBER(VALUE(RIGHT(Дума_партии[[#This Row],[tik]]))),RIGHT(Дума_партии[[#This Row],[tik]]),"")</f>
        <v>Один.2</v>
      </c>
      <c r="I134">
        <v>1472</v>
      </c>
      <c r="J134" s="8">
        <f>Дума_партии[[#This Row],[Число избирателей, внесенных в список избирателей на момент окончания голосования]]</f>
        <v>1472</v>
      </c>
      <c r="K134">
        <v>1200</v>
      </c>
      <c r="L134">
        <v>0</v>
      </c>
      <c r="M134">
        <v>514</v>
      </c>
      <c r="N134">
        <v>7</v>
      </c>
      <c r="O134" s="3">
        <f t="shared" si="81"/>
        <v>35.394021739130437</v>
      </c>
      <c r="P134" s="3">
        <f t="shared" si="82"/>
        <v>0.47554347826086957</v>
      </c>
      <c r="Q134">
        <v>679</v>
      </c>
      <c r="R134">
        <v>7</v>
      </c>
      <c r="S134">
        <v>514</v>
      </c>
      <c r="T134" s="1">
        <f t="shared" si="83"/>
        <v>521</v>
      </c>
      <c r="U134" s="3">
        <f t="shared" si="84"/>
        <v>1.3435700575815739</v>
      </c>
      <c r="V134">
        <v>10</v>
      </c>
      <c r="W134" s="3">
        <f t="shared" si="85"/>
        <v>1.9193857965451055</v>
      </c>
      <c r="X134">
        <v>511</v>
      </c>
      <c r="Y134">
        <v>0</v>
      </c>
      <c r="Z134">
        <v>0</v>
      </c>
      <c r="AA134">
        <v>180</v>
      </c>
      <c r="AB134" s="3">
        <f t="shared" si="86"/>
        <v>34.548944337811903</v>
      </c>
      <c r="AC134">
        <v>18</v>
      </c>
      <c r="AD134" s="3">
        <f t="shared" si="87"/>
        <v>3.45489443378119</v>
      </c>
      <c r="AE134">
        <v>31</v>
      </c>
      <c r="AF134" s="3">
        <f t="shared" si="88"/>
        <v>5.9500959692898272</v>
      </c>
      <c r="AG134">
        <v>61</v>
      </c>
      <c r="AH134" s="3">
        <f t="shared" si="89"/>
        <v>11.708253358925145</v>
      </c>
      <c r="AI134">
        <v>103</v>
      </c>
      <c r="AJ134" s="3">
        <f t="shared" si="90"/>
        <v>19.769673704414586</v>
      </c>
      <c r="AK134">
        <v>40</v>
      </c>
      <c r="AL134" s="3">
        <f t="shared" si="91"/>
        <v>7.6775431861804222</v>
      </c>
      <c r="AM134">
        <v>14</v>
      </c>
      <c r="AN134" s="3">
        <f t="shared" si="92"/>
        <v>2.6871401151631478</v>
      </c>
      <c r="AO134">
        <v>6</v>
      </c>
      <c r="AP134" s="3">
        <f t="shared" si="93"/>
        <v>1.1516314779270633</v>
      </c>
      <c r="AQ134">
        <v>9</v>
      </c>
      <c r="AR134" s="3">
        <f t="shared" si="94"/>
        <v>1.727447216890595</v>
      </c>
      <c r="AS134">
        <v>13</v>
      </c>
      <c r="AT134" s="3">
        <f t="shared" si="95"/>
        <v>2.4952015355086372</v>
      </c>
      <c r="AU134">
        <v>2</v>
      </c>
      <c r="AV134" s="3">
        <f t="shared" si="96"/>
        <v>0.38387715930902111</v>
      </c>
      <c r="AW134">
        <v>10</v>
      </c>
      <c r="AX134" s="3">
        <f t="shared" si="97"/>
        <v>1.9193857965451055</v>
      </c>
      <c r="AY134">
        <v>6</v>
      </c>
      <c r="AZ134" s="3">
        <f t="shared" si="98"/>
        <v>1.1516314779270633</v>
      </c>
      <c r="BA134">
        <v>18</v>
      </c>
      <c r="BB134" s="3">
        <f t="shared" si="99"/>
        <v>3.45489443378119</v>
      </c>
      <c r="BC134" t="s">
        <v>315</v>
      </c>
      <c r="BD134" s="72">
        <v>2017</v>
      </c>
      <c r="BE134" s="1"/>
      <c r="BF134"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-59.629370629370612</v>
      </c>
      <c r="BG134" s="10">
        <f>2*(Дума_партии[[#This Row],[5. Всероссийская политическая партия "ЕДИНАЯ РОССИЯ"]]-(AB$203/100)*Дума_партии[[#This Row],[Число действительных избирательных бюллетеней]])</f>
        <v>-85.269999999999982</v>
      </c>
      <c r="BH134" s="10">
        <f>(Дума_партии[[#This Row],[Вброс]]+Дума_партии[[#This Row],[Перекладывание]])/2</f>
        <v>-72.449685314685297</v>
      </c>
    </row>
    <row r="135" spans="1:60" x14ac:dyDescent="0.4">
      <c r="A135" t="s">
        <v>49</v>
      </c>
      <c r="B135" t="s">
        <v>50</v>
      </c>
      <c r="C135" t="s">
        <v>51</v>
      </c>
      <c r="D135" t="s">
        <v>227</v>
      </c>
      <c r="E135" t="s">
        <v>263</v>
      </c>
      <c r="F135" s="8">
        <f t="shared" ca="1" si="80"/>
        <v>2000</v>
      </c>
      <c r="G135" s="1" t="s">
        <v>349</v>
      </c>
      <c r="H135" s="1" t="str">
        <f>LEFT(Дума_партии[[#This Row],[tik]],4)&amp;"."&amp;IF(ISNUMBER(VALUE(RIGHT(Дума_партии[[#This Row],[tik]]))),RIGHT(Дума_партии[[#This Row],[tik]]),"")</f>
        <v>Один.2</v>
      </c>
      <c r="I135">
        <v>1457</v>
      </c>
      <c r="J135" s="8">
        <f>Дума_партии[[#This Row],[Число избирателей, внесенных в список избирателей на момент окончания голосования]]</f>
        <v>1457</v>
      </c>
      <c r="K135">
        <v>1200</v>
      </c>
      <c r="L135">
        <v>0</v>
      </c>
      <c r="M135">
        <v>503</v>
      </c>
      <c r="N135">
        <v>9</v>
      </c>
      <c r="O135" s="3">
        <f t="shared" si="81"/>
        <v>35.140700068634182</v>
      </c>
      <c r="P135" s="3">
        <f t="shared" si="82"/>
        <v>0.61770761839396016</v>
      </c>
      <c r="Q135">
        <v>688</v>
      </c>
      <c r="R135">
        <v>9</v>
      </c>
      <c r="S135">
        <v>503</v>
      </c>
      <c r="T135" s="1">
        <f t="shared" si="83"/>
        <v>512</v>
      </c>
      <c r="U135" s="3">
        <f t="shared" si="84"/>
        <v>1.7578125</v>
      </c>
      <c r="V135">
        <v>9</v>
      </c>
      <c r="W135" s="3">
        <f t="shared" si="85"/>
        <v>1.7578125</v>
      </c>
      <c r="X135">
        <v>503</v>
      </c>
      <c r="Y135">
        <v>0</v>
      </c>
      <c r="Z135">
        <v>0</v>
      </c>
      <c r="AA135">
        <v>157</v>
      </c>
      <c r="AB135" s="3">
        <f t="shared" si="86"/>
        <v>30.6640625</v>
      </c>
      <c r="AC135">
        <v>9</v>
      </c>
      <c r="AD135" s="3">
        <f t="shared" si="87"/>
        <v>1.7578125</v>
      </c>
      <c r="AE135">
        <v>43</v>
      </c>
      <c r="AF135" s="3">
        <f t="shared" si="88"/>
        <v>8.3984375</v>
      </c>
      <c r="AG135">
        <v>41</v>
      </c>
      <c r="AH135" s="3">
        <f t="shared" si="89"/>
        <v>8.0078125</v>
      </c>
      <c r="AI135">
        <v>151</v>
      </c>
      <c r="AJ135" s="3">
        <f t="shared" si="90"/>
        <v>29.4921875</v>
      </c>
      <c r="AK135">
        <v>40</v>
      </c>
      <c r="AL135" s="3">
        <f t="shared" si="91"/>
        <v>7.8125</v>
      </c>
      <c r="AM135">
        <v>15</v>
      </c>
      <c r="AN135" s="3">
        <f t="shared" si="92"/>
        <v>2.9296875</v>
      </c>
      <c r="AO135">
        <v>1</v>
      </c>
      <c r="AP135" s="3">
        <f t="shared" si="93"/>
        <v>0.1953125</v>
      </c>
      <c r="AQ135">
        <v>6</v>
      </c>
      <c r="AR135" s="3">
        <f t="shared" si="94"/>
        <v>1.171875</v>
      </c>
      <c r="AS135">
        <v>7</v>
      </c>
      <c r="AT135" s="3">
        <f t="shared" si="95"/>
        <v>1.3671875</v>
      </c>
      <c r="AU135">
        <v>0</v>
      </c>
      <c r="AV135" s="3">
        <f t="shared" si="96"/>
        <v>0</v>
      </c>
      <c r="AW135">
        <v>6</v>
      </c>
      <c r="AX135" s="3">
        <f t="shared" si="97"/>
        <v>1.171875</v>
      </c>
      <c r="AY135">
        <v>3</v>
      </c>
      <c r="AZ135" s="3">
        <f t="shared" si="98"/>
        <v>0.5859375</v>
      </c>
      <c r="BA135">
        <v>24</v>
      </c>
      <c r="BB135" s="3">
        <f t="shared" si="99"/>
        <v>4.6875</v>
      </c>
      <c r="BC135" t="s">
        <v>315</v>
      </c>
      <c r="BD135" s="72">
        <v>2017</v>
      </c>
      <c r="BE135" s="1"/>
      <c r="BF135"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10.692307692307708</v>
      </c>
      <c r="BG135" s="10">
        <f>2*(Дума_партии[[#This Row],[5. Всероссийская политическая партия "ЕДИНАЯ РОССИЯ"]]-(AB$203/100)*Дума_партии[[#This Row],[Число действительных избирательных бюллетеней]])</f>
        <v>15.29000000000002</v>
      </c>
      <c r="BH135" s="10">
        <f>(Дума_партии[[#This Row],[Вброс]]+Дума_партии[[#This Row],[Перекладывание]])/2</f>
        <v>12.991153846153864</v>
      </c>
    </row>
    <row r="136" spans="1:60" x14ac:dyDescent="0.4">
      <c r="A136" t="s">
        <v>49</v>
      </c>
      <c r="B136" t="s">
        <v>50</v>
      </c>
      <c r="C136" t="s">
        <v>51</v>
      </c>
      <c r="D136" t="s">
        <v>227</v>
      </c>
      <c r="E136" t="s">
        <v>264</v>
      </c>
      <c r="F136" s="8">
        <f t="shared" ca="1" si="80"/>
        <v>2001</v>
      </c>
      <c r="G136" s="1" t="s">
        <v>349</v>
      </c>
      <c r="H136" s="1" t="str">
        <f>LEFT(Дума_партии[[#This Row],[tik]],4)&amp;"."&amp;IF(ISNUMBER(VALUE(RIGHT(Дума_партии[[#This Row],[tik]]))),RIGHT(Дума_партии[[#This Row],[tik]]),"")</f>
        <v>Один.2</v>
      </c>
      <c r="I136">
        <v>1850</v>
      </c>
      <c r="J136" s="8">
        <f>Дума_партии[[#This Row],[Число избирателей, внесенных в список избирателей на момент окончания голосования]]</f>
        <v>1850</v>
      </c>
      <c r="K136">
        <v>1500</v>
      </c>
      <c r="L136">
        <v>0</v>
      </c>
      <c r="M136">
        <v>543</v>
      </c>
      <c r="N136">
        <v>0</v>
      </c>
      <c r="O136" s="3">
        <f t="shared" si="81"/>
        <v>29.351351351351351</v>
      </c>
      <c r="P136" s="3">
        <f t="shared" si="82"/>
        <v>0</v>
      </c>
      <c r="Q136">
        <v>957</v>
      </c>
      <c r="R136">
        <v>0</v>
      </c>
      <c r="S136">
        <v>543</v>
      </c>
      <c r="T136" s="1">
        <f t="shared" si="83"/>
        <v>543</v>
      </c>
      <c r="U136" s="3">
        <f t="shared" si="84"/>
        <v>0</v>
      </c>
      <c r="V136">
        <v>5</v>
      </c>
      <c r="W136" s="3">
        <f t="shared" si="85"/>
        <v>0.92081031307550643</v>
      </c>
      <c r="X136">
        <v>538</v>
      </c>
      <c r="Y136">
        <v>0</v>
      </c>
      <c r="Z136">
        <v>0</v>
      </c>
      <c r="AA136">
        <v>184</v>
      </c>
      <c r="AB136" s="3">
        <f t="shared" si="86"/>
        <v>33.885819521178639</v>
      </c>
      <c r="AC136">
        <v>8</v>
      </c>
      <c r="AD136" s="3">
        <f t="shared" si="87"/>
        <v>1.4732965009208103</v>
      </c>
      <c r="AE136">
        <v>38</v>
      </c>
      <c r="AF136" s="3">
        <f t="shared" si="88"/>
        <v>6.9981583793738489</v>
      </c>
      <c r="AG136">
        <v>53</v>
      </c>
      <c r="AH136" s="3">
        <f t="shared" si="89"/>
        <v>9.7605893186003687</v>
      </c>
      <c r="AI136">
        <v>120</v>
      </c>
      <c r="AJ136" s="3">
        <f t="shared" si="90"/>
        <v>22.099447513812155</v>
      </c>
      <c r="AK136">
        <v>54</v>
      </c>
      <c r="AL136" s="3">
        <f t="shared" si="91"/>
        <v>9.94475138121547</v>
      </c>
      <c r="AM136">
        <v>29</v>
      </c>
      <c r="AN136" s="3">
        <f t="shared" si="92"/>
        <v>5.3406998158379375</v>
      </c>
      <c r="AO136">
        <v>8</v>
      </c>
      <c r="AP136" s="3">
        <f t="shared" si="93"/>
        <v>1.4732965009208103</v>
      </c>
      <c r="AQ136">
        <v>7</v>
      </c>
      <c r="AR136" s="3">
        <f t="shared" si="94"/>
        <v>1.2891344383057091</v>
      </c>
      <c r="AS136">
        <v>9</v>
      </c>
      <c r="AT136" s="3">
        <f t="shared" si="95"/>
        <v>1.6574585635359116</v>
      </c>
      <c r="AU136">
        <v>0</v>
      </c>
      <c r="AV136" s="3">
        <f t="shared" si="96"/>
        <v>0</v>
      </c>
      <c r="AW136">
        <v>10</v>
      </c>
      <c r="AX136" s="3">
        <f t="shared" si="97"/>
        <v>1.8416206261510129</v>
      </c>
      <c r="AY136">
        <v>11</v>
      </c>
      <c r="AZ136" s="3">
        <f t="shared" si="98"/>
        <v>2.0257826887661143</v>
      </c>
      <c r="BA136">
        <v>7</v>
      </c>
      <c r="BB136" s="3">
        <f t="shared" si="99"/>
        <v>1.2891344383057091</v>
      </c>
      <c r="BC136" t="s">
        <v>315</v>
      </c>
      <c r="BD136" s="72">
        <v>2017</v>
      </c>
      <c r="BE136" s="1"/>
      <c r="BF136"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-46.615384615384585</v>
      </c>
      <c r="BG136" s="10">
        <f>2*(Дума_партии[[#This Row],[5. Всероссийская политическая партия "ЕДИНАЯ РОССИЯ"]]-(AB$203/100)*Дума_партии[[#This Row],[Число действительных избирательных бюллетеней]])</f>
        <v>-66.659999999999968</v>
      </c>
      <c r="BH136" s="10">
        <f>(Дума_партии[[#This Row],[Вброс]]+Дума_партии[[#This Row],[Перекладывание]])/2</f>
        <v>-56.637692307692276</v>
      </c>
    </row>
    <row r="137" spans="1:60" x14ac:dyDescent="0.4">
      <c r="A137" t="s">
        <v>49</v>
      </c>
      <c r="B137" t="s">
        <v>50</v>
      </c>
      <c r="C137" t="s">
        <v>51</v>
      </c>
      <c r="D137" t="s">
        <v>227</v>
      </c>
      <c r="E137" t="s">
        <v>265</v>
      </c>
      <c r="F137" s="8">
        <f t="shared" ca="1" si="80"/>
        <v>2002</v>
      </c>
      <c r="G137" s="1" t="s">
        <v>349</v>
      </c>
      <c r="H137" s="1" t="str">
        <f>LEFT(Дума_партии[[#This Row],[tik]],4)&amp;"."&amp;IF(ISNUMBER(VALUE(RIGHT(Дума_партии[[#This Row],[tik]]))),RIGHT(Дума_партии[[#This Row],[tik]]),"")</f>
        <v>Один.2</v>
      </c>
      <c r="I137">
        <v>2112</v>
      </c>
      <c r="J137" s="8">
        <f>Дума_партии[[#This Row],[Число избирателей, внесенных в список избирателей на момент окончания голосования]]</f>
        <v>2112</v>
      </c>
      <c r="K137">
        <v>2000</v>
      </c>
      <c r="L137">
        <v>0</v>
      </c>
      <c r="M137">
        <v>801</v>
      </c>
      <c r="N137">
        <v>96</v>
      </c>
      <c r="O137" s="3">
        <f t="shared" si="81"/>
        <v>42.471590909090907</v>
      </c>
      <c r="P137" s="3">
        <f t="shared" si="82"/>
        <v>4.5454545454545459</v>
      </c>
      <c r="Q137">
        <v>1103</v>
      </c>
      <c r="R137">
        <v>96</v>
      </c>
      <c r="S137">
        <v>801</v>
      </c>
      <c r="T137" s="1">
        <f t="shared" si="83"/>
        <v>897</v>
      </c>
      <c r="U137" s="3">
        <f t="shared" si="84"/>
        <v>10.702341137123746</v>
      </c>
      <c r="V137">
        <v>18</v>
      </c>
      <c r="W137" s="3">
        <f t="shared" si="85"/>
        <v>2.0066889632107023</v>
      </c>
      <c r="X137">
        <v>879</v>
      </c>
      <c r="Y137">
        <v>0</v>
      </c>
      <c r="Z137">
        <v>0</v>
      </c>
      <c r="AA137">
        <v>204</v>
      </c>
      <c r="AB137" s="3">
        <f t="shared" si="86"/>
        <v>22.742474916387959</v>
      </c>
      <c r="AC137">
        <v>20</v>
      </c>
      <c r="AD137" s="3">
        <f t="shared" si="87"/>
        <v>2.229654403567447</v>
      </c>
      <c r="AE137">
        <v>81</v>
      </c>
      <c r="AF137" s="3">
        <f t="shared" si="88"/>
        <v>9.0301003344481607</v>
      </c>
      <c r="AG137">
        <v>76</v>
      </c>
      <c r="AH137" s="3">
        <f t="shared" si="89"/>
        <v>8.4726867335562996</v>
      </c>
      <c r="AI137">
        <v>306</v>
      </c>
      <c r="AJ137" s="3">
        <f t="shared" si="90"/>
        <v>34.113712374581937</v>
      </c>
      <c r="AK137">
        <v>86</v>
      </c>
      <c r="AL137" s="3">
        <f t="shared" si="91"/>
        <v>9.5875139353400218</v>
      </c>
      <c r="AM137">
        <v>29</v>
      </c>
      <c r="AN137" s="3">
        <f t="shared" si="92"/>
        <v>3.2329988851727984</v>
      </c>
      <c r="AO137">
        <v>7</v>
      </c>
      <c r="AP137" s="3">
        <f t="shared" si="93"/>
        <v>0.78037904124860646</v>
      </c>
      <c r="AQ137">
        <v>9</v>
      </c>
      <c r="AR137" s="3">
        <f t="shared" si="94"/>
        <v>1.0033444816053512</v>
      </c>
      <c r="AS137">
        <v>14</v>
      </c>
      <c r="AT137" s="3">
        <f t="shared" si="95"/>
        <v>1.5607580824972129</v>
      </c>
      <c r="AU137">
        <v>1</v>
      </c>
      <c r="AV137" s="3">
        <f t="shared" si="96"/>
        <v>0.11148272017837235</v>
      </c>
      <c r="AW137">
        <v>10</v>
      </c>
      <c r="AX137" s="3">
        <f t="shared" si="97"/>
        <v>1.1148272017837235</v>
      </c>
      <c r="AY137">
        <v>11</v>
      </c>
      <c r="AZ137" s="3">
        <f t="shared" si="98"/>
        <v>1.2263099219620959</v>
      </c>
      <c r="BA137">
        <v>25</v>
      </c>
      <c r="BB137" s="3">
        <f t="shared" si="99"/>
        <v>2.787068004459309</v>
      </c>
      <c r="BC137" t="s">
        <v>315</v>
      </c>
      <c r="BD137" s="72">
        <v>2017</v>
      </c>
      <c r="BE137" s="1"/>
      <c r="BF137"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77.601398601398643</v>
      </c>
      <c r="BG137" s="10">
        <f>2*(Дума_партии[[#This Row],[5. Всероссийская политическая партия "ЕДИНАЯ РОССИЯ"]]-(AB$203/100)*Дума_партии[[#This Row],[Число действительных избирательных бюллетеней]])</f>
        <v>110.97000000000003</v>
      </c>
      <c r="BH137" s="10">
        <f>(Дума_партии[[#This Row],[Вброс]]+Дума_партии[[#This Row],[Перекладывание]])/2</f>
        <v>94.285699300699335</v>
      </c>
    </row>
    <row r="138" spans="1:60" x14ac:dyDescent="0.4">
      <c r="A138" t="s">
        <v>49</v>
      </c>
      <c r="B138" t="s">
        <v>50</v>
      </c>
      <c r="C138" t="s">
        <v>51</v>
      </c>
      <c r="D138" t="s">
        <v>227</v>
      </c>
      <c r="E138" t="s">
        <v>266</v>
      </c>
      <c r="F138" s="8">
        <f t="shared" ca="1" si="80"/>
        <v>2004</v>
      </c>
      <c r="G138" s="1" t="s">
        <v>349</v>
      </c>
      <c r="H138" s="1" t="str">
        <f>LEFT(Дума_партии[[#This Row],[tik]],4)&amp;"."&amp;IF(ISNUMBER(VALUE(RIGHT(Дума_партии[[#This Row],[tik]]))),RIGHT(Дума_партии[[#This Row],[tik]]),"")</f>
        <v>Один.2</v>
      </c>
      <c r="I138">
        <v>1035</v>
      </c>
      <c r="J138" s="8">
        <f>Дума_партии[[#This Row],[Число избирателей, внесенных в список избирателей на момент окончания голосования]]</f>
        <v>1035</v>
      </c>
      <c r="K138">
        <v>900</v>
      </c>
      <c r="L138">
        <v>0</v>
      </c>
      <c r="M138">
        <v>346</v>
      </c>
      <c r="N138">
        <v>226</v>
      </c>
      <c r="O138" s="3">
        <f t="shared" si="81"/>
        <v>55.265700483091784</v>
      </c>
      <c r="P138" s="3">
        <f t="shared" si="82"/>
        <v>21.835748792270532</v>
      </c>
      <c r="Q138">
        <v>328</v>
      </c>
      <c r="R138">
        <v>226</v>
      </c>
      <c r="S138">
        <v>346</v>
      </c>
      <c r="T138" s="1">
        <f t="shared" si="83"/>
        <v>572</v>
      </c>
      <c r="U138" s="3">
        <f t="shared" si="84"/>
        <v>39.510489510489514</v>
      </c>
      <c r="V138">
        <v>11</v>
      </c>
      <c r="W138" s="3">
        <f t="shared" si="85"/>
        <v>1.9230769230769231</v>
      </c>
      <c r="X138">
        <v>561</v>
      </c>
      <c r="Y138">
        <v>0</v>
      </c>
      <c r="Z138">
        <v>0</v>
      </c>
      <c r="AA138">
        <v>127</v>
      </c>
      <c r="AB138" s="3">
        <f t="shared" si="86"/>
        <v>22.202797202797203</v>
      </c>
      <c r="AC138">
        <v>9</v>
      </c>
      <c r="AD138" s="3">
        <f t="shared" si="87"/>
        <v>1.5734265734265733</v>
      </c>
      <c r="AE138">
        <v>41</v>
      </c>
      <c r="AF138" s="3">
        <f t="shared" si="88"/>
        <v>7.1678321678321675</v>
      </c>
      <c r="AG138">
        <v>30</v>
      </c>
      <c r="AH138" s="3">
        <f t="shared" si="89"/>
        <v>5.244755244755245</v>
      </c>
      <c r="AI138">
        <v>242</v>
      </c>
      <c r="AJ138" s="3">
        <f t="shared" si="90"/>
        <v>42.307692307692307</v>
      </c>
      <c r="AK138">
        <v>52</v>
      </c>
      <c r="AL138" s="3">
        <f t="shared" si="91"/>
        <v>9.0909090909090917</v>
      </c>
      <c r="AM138">
        <v>8</v>
      </c>
      <c r="AN138" s="3">
        <f t="shared" si="92"/>
        <v>1.3986013986013985</v>
      </c>
      <c r="AO138">
        <v>2</v>
      </c>
      <c r="AP138" s="3">
        <f t="shared" si="93"/>
        <v>0.34965034965034963</v>
      </c>
      <c r="AQ138">
        <v>9</v>
      </c>
      <c r="AR138" s="3">
        <f t="shared" si="94"/>
        <v>1.5734265734265733</v>
      </c>
      <c r="AS138">
        <v>12</v>
      </c>
      <c r="AT138" s="3">
        <f t="shared" si="95"/>
        <v>2.0979020979020979</v>
      </c>
      <c r="AU138">
        <v>1</v>
      </c>
      <c r="AV138" s="3">
        <f t="shared" si="96"/>
        <v>0.17482517482517482</v>
      </c>
      <c r="AW138">
        <v>9</v>
      </c>
      <c r="AX138" s="3">
        <f t="shared" si="97"/>
        <v>1.5734265734265733</v>
      </c>
      <c r="AY138">
        <v>6</v>
      </c>
      <c r="AZ138" s="3">
        <f t="shared" si="98"/>
        <v>1.048951048951049</v>
      </c>
      <c r="BA138">
        <v>13</v>
      </c>
      <c r="BB138" s="3">
        <f t="shared" si="99"/>
        <v>2.2727272727272729</v>
      </c>
      <c r="BC138" t="s">
        <v>315</v>
      </c>
      <c r="BD138" s="72">
        <v>2017</v>
      </c>
      <c r="BE138" s="1"/>
      <c r="BF138"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114.84615384615387</v>
      </c>
      <c r="BG138" s="10">
        <f>2*(Дума_партии[[#This Row],[5. Всероссийская политическая партия "ЕДИНАЯ РОССИЯ"]]-(AB$203/100)*Дума_партии[[#This Row],[Число действительных избирательных бюллетеней]])</f>
        <v>164.23000000000002</v>
      </c>
      <c r="BH138" s="10">
        <f>(Дума_партии[[#This Row],[Вброс]]+Дума_партии[[#This Row],[Перекладывание]])/2</f>
        <v>139.53807692307694</v>
      </c>
    </row>
    <row r="139" spans="1:60" x14ac:dyDescent="0.4">
      <c r="A139" t="s">
        <v>49</v>
      </c>
      <c r="B139" t="s">
        <v>50</v>
      </c>
      <c r="C139" t="s">
        <v>51</v>
      </c>
      <c r="D139" t="s">
        <v>227</v>
      </c>
      <c r="E139" t="s">
        <v>267</v>
      </c>
      <c r="F139" s="8">
        <f t="shared" ca="1" si="80"/>
        <v>2005</v>
      </c>
      <c r="G139" s="1" t="s">
        <v>349</v>
      </c>
      <c r="H139" s="1" t="str">
        <f>LEFT(Дума_партии[[#This Row],[tik]],4)&amp;"."&amp;IF(ISNUMBER(VALUE(RIGHT(Дума_партии[[#This Row],[tik]]))),RIGHT(Дума_партии[[#This Row],[tik]]),"")</f>
        <v>Один.2</v>
      </c>
      <c r="I139">
        <v>1900</v>
      </c>
      <c r="J139" s="8">
        <f>Дума_партии[[#This Row],[Число избирателей, внесенных в список избирателей на момент окончания голосования]]</f>
        <v>1900</v>
      </c>
      <c r="K139">
        <v>1500</v>
      </c>
      <c r="L139">
        <v>0</v>
      </c>
      <c r="M139">
        <v>570</v>
      </c>
      <c r="N139">
        <v>401</v>
      </c>
      <c r="O139" s="3">
        <f t="shared" si="81"/>
        <v>51.10526315789474</v>
      </c>
      <c r="P139" s="3">
        <f t="shared" si="82"/>
        <v>21.105263157894736</v>
      </c>
      <c r="Q139">
        <v>529</v>
      </c>
      <c r="R139">
        <v>400</v>
      </c>
      <c r="S139">
        <v>570</v>
      </c>
      <c r="T139" s="1">
        <f t="shared" si="83"/>
        <v>970</v>
      </c>
      <c r="U139" s="3">
        <f t="shared" si="84"/>
        <v>41.237113402061858</v>
      </c>
      <c r="V139">
        <v>12</v>
      </c>
      <c r="W139" s="3">
        <f t="shared" si="85"/>
        <v>1.2371134020618557</v>
      </c>
      <c r="X139">
        <v>958</v>
      </c>
      <c r="Y139">
        <v>0</v>
      </c>
      <c r="Z139">
        <v>0</v>
      </c>
      <c r="AA139">
        <v>166</v>
      </c>
      <c r="AB139" s="3">
        <f t="shared" si="86"/>
        <v>17.11340206185567</v>
      </c>
      <c r="AC139">
        <v>13</v>
      </c>
      <c r="AD139" s="3">
        <f t="shared" si="87"/>
        <v>1.3402061855670102</v>
      </c>
      <c r="AE139">
        <v>60</v>
      </c>
      <c r="AF139" s="3">
        <f t="shared" si="88"/>
        <v>6.1855670103092786</v>
      </c>
      <c r="AG139">
        <v>58</v>
      </c>
      <c r="AH139" s="3">
        <f t="shared" si="89"/>
        <v>5.9793814432989691</v>
      </c>
      <c r="AI139">
        <v>535</v>
      </c>
      <c r="AJ139" s="3">
        <f t="shared" si="90"/>
        <v>55.154639175257735</v>
      </c>
      <c r="AK139">
        <v>57</v>
      </c>
      <c r="AL139" s="3">
        <f t="shared" si="91"/>
        <v>5.8762886597938149</v>
      </c>
      <c r="AM139">
        <v>14</v>
      </c>
      <c r="AN139" s="3">
        <f t="shared" si="92"/>
        <v>1.4432989690721649</v>
      </c>
      <c r="AO139">
        <v>5</v>
      </c>
      <c r="AP139" s="3">
        <f t="shared" si="93"/>
        <v>0.51546391752577314</v>
      </c>
      <c r="AQ139">
        <v>5</v>
      </c>
      <c r="AR139" s="3">
        <f t="shared" si="94"/>
        <v>0.51546391752577314</v>
      </c>
      <c r="AS139">
        <v>9</v>
      </c>
      <c r="AT139" s="3">
        <f t="shared" si="95"/>
        <v>0.92783505154639179</v>
      </c>
      <c r="AU139">
        <v>4</v>
      </c>
      <c r="AV139" s="3">
        <f t="shared" si="96"/>
        <v>0.41237113402061853</v>
      </c>
      <c r="AW139">
        <v>4</v>
      </c>
      <c r="AX139" s="3">
        <f t="shared" si="97"/>
        <v>0.41237113402061853</v>
      </c>
      <c r="AY139">
        <v>11</v>
      </c>
      <c r="AZ139" s="3">
        <f t="shared" si="98"/>
        <v>1.134020618556701</v>
      </c>
      <c r="BA139">
        <v>17</v>
      </c>
      <c r="BB139" s="3">
        <f t="shared" si="99"/>
        <v>1.7525773195876289</v>
      </c>
      <c r="BC139" t="s">
        <v>315</v>
      </c>
      <c r="BD139" s="72">
        <v>2017</v>
      </c>
      <c r="BE139" s="1"/>
      <c r="BF139"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366.39160839160843</v>
      </c>
      <c r="BG139" s="10">
        <f>2*(Дума_партии[[#This Row],[5. Всероссийская политическая партия "ЕДИНАЯ РОССИЯ"]]-(AB$203/100)*Дума_партии[[#This Row],[Число действительных избирательных бюллетеней]])</f>
        <v>523.94000000000005</v>
      </c>
      <c r="BH139" s="10">
        <f>(Дума_партии[[#This Row],[Вброс]]+Дума_партии[[#This Row],[Перекладывание]])/2</f>
        <v>445.16580419580424</v>
      </c>
    </row>
    <row r="140" spans="1:60" x14ac:dyDescent="0.4">
      <c r="A140" t="s">
        <v>49</v>
      </c>
      <c r="B140" t="s">
        <v>50</v>
      </c>
      <c r="C140" t="s">
        <v>51</v>
      </c>
      <c r="D140" t="s">
        <v>227</v>
      </c>
      <c r="E140" t="s">
        <v>268</v>
      </c>
      <c r="F140" s="8">
        <f t="shared" ca="1" si="80"/>
        <v>2008</v>
      </c>
      <c r="G140" s="1" t="s">
        <v>349</v>
      </c>
      <c r="H140" s="1" t="str">
        <f>LEFT(Дума_партии[[#This Row],[tik]],4)&amp;"."&amp;IF(ISNUMBER(VALUE(RIGHT(Дума_партии[[#This Row],[tik]]))),RIGHT(Дума_партии[[#This Row],[tik]]),"")</f>
        <v>Один.2</v>
      </c>
      <c r="I140">
        <v>2290</v>
      </c>
      <c r="J140" s="8">
        <f>Дума_партии[[#This Row],[Число избирателей, внесенных в список избирателей на момент окончания голосования]]</f>
        <v>2290</v>
      </c>
      <c r="K140">
        <v>2000</v>
      </c>
      <c r="L140">
        <v>0</v>
      </c>
      <c r="M140">
        <v>785</v>
      </c>
      <c r="N140">
        <v>59</v>
      </c>
      <c r="O140" s="3">
        <f t="shared" si="81"/>
        <v>36.855895196506552</v>
      </c>
      <c r="P140" s="3">
        <f t="shared" si="82"/>
        <v>2.5764192139737991</v>
      </c>
      <c r="Q140">
        <v>1156</v>
      </c>
      <c r="R140">
        <v>59</v>
      </c>
      <c r="S140">
        <v>745</v>
      </c>
      <c r="T140" s="1">
        <f t="shared" si="83"/>
        <v>804</v>
      </c>
      <c r="U140" s="3">
        <f t="shared" si="84"/>
        <v>7.3383084577114426</v>
      </c>
      <c r="V140">
        <v>28</v>
      </c>
      <c r="W140" s="3">
        <f t="shared" si="85"/>
        <v>3.4825870646766171</v>
      </c>
      <c r="X140">
        <v>776</v>
      </c>
      <c r="Y140">
        <v>0</v>
      </c>
      <c r="Z140">
        <v>0</v>
      </c>
      <c r="AA140">
        <v>240</v>
      </c>
      <c r="AB140" s="3">
        <f t="shared" si="86"/>
        <v>29.850746268656717</v>
      </c>
      <c r="AC140">
        <v>21</v>
      </c>
      <c r="AD140" s="3">
        <f t="shared" si="87"/>
        <v>2.6119402985074629</v>
      </c>
      <c r="AE140">
        <v>63</v>
      </c>
      <c r="AF140" s="3">
        <f t="shared" si="88"/>
        <v>7.8358208955223878</v>
      </c>
      <c r="AG140">
        <v>71</v>
      </c>
      <c r="AH140" s="3">
        <f t="shared" si="89"/>
        <v>8.8308457711442792</v>
      </c>
      <c r="AI140">
        <v>199</v>
      </c>
      <c r="AJ140" s="3">
        <f t="shared" si="90"/>
        <v>24.751243781094526</v>
      </c>
      <c r="AK140">
        <v>86</v>
      </c>
      <c r="AL140" s="3">
        <f t="shared" si="91"/>
        <v>10.696517412935323</v>
      </c>
      <c r="AM140">
        <v>25</v>
      </c>
      <c r="AN140" s="3">
        <f t="shared" si="92"/>
        <v>3.1094527363184081</v>
      </c>
      <c r="AO140">
        <v>8</v>
      </c>
      <c r="AP140" s="3">
        <f t="shared" si="93"/>
        <v>0.99502487562189057</v>
      </c>
      <c r="AQ140">
        <v>11</v>
      </c>
      <c r="AR140" s="3">
        <f t="shared" si="94"/>
        <v>1.3681592039800996</v>
      </c>
      <c r="AS140">
        <v>14</v>
      </c>
      <c r="AT140" s="3">
        <f t="shared" si="95"/>
        <v>1.7412935323383085</v>
      </c>
      <c r="AU140">
        <v>1</v>
      </c>
      <c r="AV140" s="3">
        <f t="shared" si="96"/>
        <v>0.12437810945273632</v>
      </c>
      <c r="AW140">
        <v>6</v>
      </c>
      <c r="AX140" s="3">
        <f t="shared" si="97"/>
        <v>0.74626865671641796</v>
      </c>
      <c r="AY140">
        <v>11</v>
      </c>
      <c r="AZ140" s="3">
        <f t="shared" si="98"/>
        <v>1.3681592039800996</v>
      </c>
      <c r="BA140">
        <v>20</v>
      </c>
      <c r="BB140" s="3">
        <f t="shared" si="99"/>
        <v>2.4875621890547261</v>
      </c>
      <c r="BC140" t="s">
        <v>315</v>
      </c>
      <c r="BD140" s="72">
        <v>2017</v>
      </c>
      <c r="BE140" s="1">
        <v>2</v>
      </c>
      <c r="BF140"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-30.993006993006958</v>
      </c>
      <c r="BG140" s="10">
        <f>2*(Дума_партии[[#This Row],[5. Всероссийская политическая партия "ЕДИНАЯ РОССИЯ"]]-(AB$203/100)*Дума_партии[[#This Row],[Число действительных избирательных бюллетеней]])</f>
        <v>-44.319999999999936</v>
      </c>
      <c r="BH140" s="10">
        <f>(Дума_партии[[#This Row],[Вброс]]+Дума_партии[[#This Row],[Перекладывание]])/2</f>
        <v>-37.656503496503447</v>
      </c>
    </row>
    <row r="141" spans="1:60" x14ac:dyDescent="0.4">
      <c r="A141" t="s">
        <v>49</v>
      </c>
      <c r="B141" t="s">
        <v>50</v>
      </c>
      <c r="C141" t="s">
        <v>51</v>
      </c>
      <c r="D141" t="s">
        <v>227</v>
      </c>
      <c r="E141" t="s">
        <v>269</v>
      </c>
      <c r="F141" s="8">
        <f t="shared" ca="1" si="80"/>
        <v>2009</v>
      </c>
      <c r="G141" s="1" t="s">
        <v>349</v>
      </c>
      <c r="H141" s="1" t="str">
        <f>LEFT(Дума_партии[[#This Row],[tik]],4)&amp;"."&amp;IF(ISNUMBER(VALUE(RIGHT(Дума_партии[[#This Row],[tik]]))),RIGHT(Дума_партии[[#This Row],[tik]]),"")</f>
        <v>Один.2</v>
      </c>
      <c r="I141">
        <v>2197</v>
      </c>
      <c r="J141" s="8">
        <f>Дума_партии[[#This Row],[Число избирателей, внесенных в список избирателей на момент окончания голосования]]</f>
        <v>2197</v>
      </c>
      <c r="K141">
        <v>2000</v>
      </c>
      <c r="L141">
        <v>0</v>
      </c>
      <c r="M141">
        <v>732</v>
      </c>
      <c r="N141">
        <v>33</v>
      </c>
      <c r="O141" s="3">
        <f t="shared" si="81"/>
        <v>34.820209376422397</v>
      </c>
      <c r="P141" s="3">
        <f t="shared" si="82"/>
        <v>1.5020482476103778</v>
      </c>
      <c r="Q141">
        <v>1235</v>
      </c>
      <c r="R141">
        <v>33</v>
      </c>
      <c r="S141">
        <v>732</v>
      </c>
      <c r="T141" s="1">
        <f t="shared" si="83"/>
        <v>765</v>
      </c>
      <c r="U141" s="3">
        <f t="shared" si="84"/>
        <v>4.3137254901960782</v>
      </c>
      <c r="V141">
        <v>21</v>
      </c>
      <c r="W141" s="3">
        <f t="shared" si="85"/>
        <v>2.7450980392156863</v>
      </c>
      <c r="X141">
        <v>744</v>
      </c>
      <c r="Y141">
        <v>0</v>
      </c>
      <c r="Z141">
        <v>0</v>
      </c>
      <c r="AA141">
        <v>224</v>
      </c>
      <c r="AB141" s="3">
        <f t="shared" si="86"/>
        <v>29.281045751633986</v>
      </c>
      <c r="AC141">
        <v>18</v>
      </c>
      <c r="AD141" s="3">
        <f t="shared" si="87"/>
        <v>2.3529411764705883</v>
      </c>
      <c r="AE141">
        <v>66</v>
      </c>
      <c r="AF141" s="3">
        <f t="shared" si="88"/>
        <v>8.6274509803921564</v>
      </c>
      <c r="AG141">
        <v>68</v>
      </c>
      <c r="AH141" s="3">
        <f t="shared" si="89"/>
        <v>8.8888888888888893</v>
      </c>
      <c r="AI141">
        <v>186</v>
      </c>
      <c r="AJ141" s="3">
        <f t="shared" si="90"/>
        <v>24.313725490196077</v>
      </c>
      <c r="AK141">
        <v>65</v>
      </c>
      <c r="AL141" s="3">
        <f t="shared" si="91"/>
        <v>8.4967320261437909</v>
      </c>
      <c r="AM141">
        <v>22</v>
      </c>
      <c r="AN141" s="3">
        <f t="shared" si="92"/>
        <v>2.8758169934640523</v>
      </c>
      <c r="AO141">
        <v>5</v>
      </c>
      <c r="AP141" s="3">
        <f t="shared" si="93"/>
        <v>0.65359477124183007</v>
      </c>
      <c r="AQ141">
        <v>11</v>
      </c>
      <c r="AR141" s="3">
        <f t="shared" si="94"/>
        <v>1.4379084967320261</v>
      </c>
      <c r="AS141">
        <v>15</v>
      </c>
      <c r="AT141" s="3">
        <f t="shared" si="95"/>
        <v>1.9607843137254901</v>
      </c>
      <c r="AU141">
        <v>3</v>
      </c>
      <c r="AV141" s="3">
        <f t="shared" si="96"/>
        <v>0.39215686274509803</v>
      </c>
      <c r="AW141">
        <v>13</v>
      </c>
      <c r="AX141" s="3">
        <f t="shared" si="97"/>
        <v>1.6993464052287581</v>
      </c>
      <c r="AY141">
        <v>20</v>
      </c>
      <c r="AZ141" s="3">
        <f t="shared" si="98"/>
        <v>2.6143790849673203</v>
      </c>
      <c r="BA141">
        <v>28</v>
      </c>
      <c r="BB141" s="3">
        <f t="shared" si="99"/>
        <v>3.6601307189542482</v>
      </c>
      <c r="BC141" t="s">
        <v>315</v>
      </c>
      <c r="BD141" s="72">
        <v>2017</v>
      </c>
      <c r="BE141" s="1">
        <v>2</v>
      </c>
      <c r="BF141"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-36.41958041958037</v>
      </c>
      <c r="BG141" s="10">
        <f>2*(Дума_партии[[#This Row],[5. Всероссийская политическая партия "ЕДИНАЯ РОССИЯ"]]-(AB$203/100)*Дума_партии[[#This Row],[Число действительных избирательных бюллетеней]])</f>
        <v>-52.079999999999984</v>
      </c>
      <c r="BH141" s="10">
        <f>(Дума_партии[[#This Row],[Вброс]]+Дума_партии[[#This Row],[Перекладывание]])/2</f>
        <v>-44.249790209790177</v>
      </c>
    </row>
    <row r="142" spans="1:60" x14ac:dyDescent="0.4">
      <c r="A142" t="s">
        <v>49</v>
      </c>
      <c r="B142" t="s">
        <v>50</v>
      </c>
      <c r="C142" t="s">
        <v>51</v>
      </c>
      <c r="D142" t="s">
        <v>227</v>
      </c>
      <c r="E142" t="s">
        <v>270</v>
      </c>
      <c r="F142" s="8">
        <f t="shared" ca="1" si="80"/>
        <v>2011</v>
      </c>
      <c r="G142" s="1" t="s">
        <v>349</v>
      </c>
      <c r="H142" s="1" t="str">
        <f>LEFT(Дума_партии[[#This Row],[tik]],4)&amp;"."&amp;IF(ISNUMBER(VALUE(RIGHT(Дума_партии[[#This Row],[tik]]))),RIGHT(Дума_партии[[#This Row],[tik]]),"")</f>
        <v>Один.2</v>
      </c>
      <c r="I142">
        <v>1800</v>
      </c>
      <c r="J142" s="8">
        <f>Дума_партии[[#This Row],[Число избирателей, внесенных в список избирателей на момент окончания голосования]]</f>
        <v>1800</v>
      </c>
      <c r="K142">
        <v>1500</v>
      </c>
      <c r="L142">
        <v>0</v>
      </c>
      <c r="M142">
        <v>1100</v>
      </c>
      <c r="N142">
        <v>159</v>
      </c>
      <c r="O142" s="3">
        <f t="shared" si="81"/>
        <v>69.944444444444443</v>
      </c>
      <c r="P142" s="3">
        <f t="shared" si="82"/>
        <v>8.8333333333333339</v>
      </c>
      <c r="Q142">
        <v>241</v>
      </c>
      <c r="R142">
        <v>159</v>
      </c>
      <c r="S142">
        <v>1100</v>
      </c>
      <c r="T142" s="1">
        <f t="shared" si="83"/>
        <v>1259</v>
      </c>
      <c r="U142" s="3">
        <f t="shared" si="84"/>
        <v>12.629070691024623</v>
      </c>
      <c r="V142">
        <v>167</v>
      </c>
      <c r="W142" s="3">
        <f t="shared" si="85"/>
        <v>13.264495631453535</v>
      </c>
      <c r="X142">
        <v>1092</v>
      </c>
      <c r="Y142">
        <v>0</v>
      </c>
      <c r="Z142">
        <v>0</v>
      </c>
      <c r="AA142">
        <v>189</v>
      </c>
      <c r="AB142" s="3">
        <f t="shared" si="86"/>
        <v>15.011914217633041</v>
      </c>
      <c r="AC142">
        <v>3</v>
      </c>
      <c r="AD142" s="3">
        <f t="shared" si="87"/>
        <v>0.23828435266084194</v>
      </c>
      <c r="AE142">
        <v>1</v>
      </c>
      <c r="AF142" s="3">
        <f t="shared" si="88"/>
        <v>7.9428117553613981E-2</v>
      </c>
      <c r="AG142">
        <v>32</v>
      </c>
      <c r="AH142" s="3">
        <f t="shared" si="89"/>
        <v>2.5416997617156474</v>
      </c>
      <c r="AI142">
        <v>689</v>
      </c>
      <c r="AJ142" s="3">
        <f t="shared" si="90"/>
        <v>54.725972994440035</v>
      </c>
      <c r="AK142">
        <v>14</v>
      </c>
      <c r="AL142" s="3">
        <f t="shared" si="91"/>
        <v>1.1119936457505957</v>
      </c>
      <c r="AM142">
        <v>61</v>
      </c>
      <c r="AN142" s="3">
        <f t="shared" si="92"/>
        <v>4.8451151707704527</v>
      </c>
      <c r="AO142">
        <v>52</v>
      </c>
      <c r="AP142" s="3">
        <f t="shared" si="93"/>
        <v>4.1302621127879267</v>
      </c>
      <c r="AQ142">
        <v>3</v>
      </c>
      <c r="AR142" s="3">
        <f t="shared" si="94"/>
        <v>0.23828435266084194</v>
      </c>
      <c r="AS142">
        <v>9</v>
      </c>
      <c r="AT142" s="3">
        <f t="shared" si="95"/>
        <v>0.71485305798252585</v>
      </c>
      <c r="AU142">
        <v>1</v>
      </c>
      <c r="AV142" s="3">
        <f t="shared" si="96"/>
        <v>7.9428117553613981E-2</v>
      </c>
      <c r="AW142">
        <v>21</v>
      </c>
      <c r="AX142" s="3">
        <f t="shared" si="97"/>
        <v>1.6679904686258935</v>
      </c>
      <c r="AY142">
        <v>9</v>
      </c>
      <c r="AZ142" s="3">
        <f t="shared" si="98"/>
        <v>0.71485305798252585</v>
      </c>
      <c r="BA142">
        <v>8</v>
      </c>
      <c r="BB142" s="3">
        <f t="shared" si="99"/>
        <v>0.63542494042891184</v>
      </c>
      <c r="BC142" t="s">
        <v>315</v>
      </c>
      <c r="BD142" s="72">
        <v>2017</v>
      </c>
      <c r="BE142" s="1"/>
      <c r="BF142"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528.36363636363637</v>
      </c>
      <c r="BG142" s="10">
        <f>2*(Дума_партии[[#This Row],[5. Всероссийская политическая партия "ЕДИНАЯ РОССИЯ"]]-(AB$203/100)*Дума_партии[[#This Row],[Число действительных избирательных бюллетеней]])</f>
        <v>755.56000000000006</v>
      </c>
      <c r="BH142" s="10">
        <f>(Дума_партии[[#This Row],[Вброс]]+Дума_партии[[#This Row],[Перекладывание]])/2</f>
        <v>641.96181818181822</v>
      </c>
    </row>
    <row r="143" spans="1:60" x14ac:dyDescent="0.4">
      <c r="A143" t="s">
        <v>49</v>
      </c>
      <c r="B143" t="s">
        <v>50</v>
      </c>
      <c r="C143" t="s">
        <v>51</v>
      </c>
      <c r="D143" t="s">
        <v>227</v>
      </c>
      <c r="E143" t="s">
        <v>271</v>
      </c>
      <c r="F143" s="8">
        <f t="shared" ca="1" si="80"/>
        <v>2013</v>
      </c>
      <c r="G143" s="1" t="s">
        <v>349</v>
      </c>
      <c r="H143" s="1" t="str">
        <f>LEFT(Дума_партии[[#This Row],[tik]],4)&amp;"."&amp;IF(ISNUMBER(VALUE(RIGHT(Дума_партии[[#This Row],[tik]]))),RIGHT(Дума_партии[[#This Row],[tik]]),"")</f>
        <v>Один.2</v>
      </c>
      <c r="I143">
        <v>2166</v>
      </c>
      <c r="J143" s="8">
        <f>Дума_партии[[#This Row],[Число избирателей, внесенных в список избирателей на момент окончания голосования]]</f>
        <v>2166</v>
      </c>
      <c r="K143">
        <v>2000</v>
      </c>
      <c r="L143">
        <v>0</v>
      </c>
      <c r="M143">
        <v>709</v>
      </c>
      <c r="N143">
        <v>6</v>
      </c>
      <c r="O143" s="3">
        <f t="shared" si="81"/>
        <v>33.010156971375807</v>
      </c>
      <c r="P143" s="3">
        <f t="shared" si="82"/>
        <v>0.2770083102493075</v>
      </c>
      <c r="Q143">
        <v>1285</v>
      </c>
      <c r="R143">
        <v>6</v>
      </c>
      <c r="S143">
        <v>709</v>
      </c>
      <c r="T143" s="1">
        <f t="shared" si="83"/>
        <v>715</v>
      </c>
      <c r="U143" s="3">
        <f t="shared" si="84"/>
        <v>0.83916083916083917</v>
      </c>
      <c r="V143">
        <v>20</v>
      </c>
      <c r="W143" s="3">
        <f t="shared" si="85"/>
        <v>2.7972027972027971</v>
      </c>
      <c r="X143">
        <v>695</v>
      </c>
      <c r="Y143">
        <v>0</v>
      </c>
      <c r="Z143">
        <v>0</v>
      </c>
      <c r="AA143">
        <v>226</v>
      </c>
      <c r="AB143" s="3">
        <f t="shared" si="86"/>
        <v>31.60839160839161</v>
      </c>
      <c r="AC143">
        <v>8</v>
      </c>
      <c r="AD143" s="3">
        <f t="shared" si="87"/>
        <v>1.118881118881119</v>
      </c>
      <c r="AE143">
        <v>66</v>
      </c>
      <c r="AF143" s="3">
        <f t="shared" si="88"/>
        <v>9.2307692307692299</v>
      </c>
      <c r="AG143">
        <v>82</v>
      </c>
      <c r="AH143" s="3">
        <f t="shared" si="89"/>
        <v>11.468531468531468</v>
      </c>
      <c r="AI143">
        <v>156</v>
      </c>
      <c r="AJ143" s="3">
        <f t="shared" si="90"/>
        <v>21.818181818181817</v>
      </c>
      <c r="AK143">
        <v>64</v>
      </c>
      <c r="AL143" s="3">
        <f t="shared" si="91"/>
        <v>8.9510489510489517</v>
      </c>
      <c r="AM143">
        <v>20</v>
      </c>
      <c r="AN143" s="3">
        <f t="shared" si="92"/>
        <v>2.7972027972027971</v>
      </c>
      <c r="AO143">
        <v>4</v>
      </c>
      <c r="AP143" s="3">
        <f t="shared" si="93"/>
        <v>0.55944055944055948</v>
      </c>
      <c r="AQ143">
        <v>8</v>
      </c>
      <c r="AR143" s="3">
        <f t="shared" si="94"/>
        <v>1.118881118881119</v>
      </c>
      <c r="AS143">
        <v>19</v>
      </c>
      <c r="AT143" s="3">
        <f t="shared" si="95"/>
        <v>2.6573426573426575</v>
      </c>
      <c r="AU143">
        <v>1</v>
      </c>
      <c r="AV143" s="3">
        <f t="shared" si="96"/>
        <v>0.13986013986013987</v>
      </c>
      <c r="AW143">
        <v>9</v>
      </c>
      <c r="AX143" s="3">
        <f t="shared" si="97"/>
        <v>1.2587412587412588</v>
      </c>
      <c r="AY143">
        <v>6</v>
      </c>
      <c r="AZ143" s="3">
        <f t="shared" si="98"/>
        <v>0.83916083916083917</v>
      </c>
      <c r="BA143">
        <v>26</v>
      </c>
      <c r="BB143" s="3">
        <f t="shared" si="99"/>
        <v>3.6363636363636362</v>
      </c>
      <c r="BC143" t="s">
        <v>315</v>
      </c>
      <c r="BD143" s="72">
        <v>2017</v>
      </c>
      <c r="BE143" s="1">
        <v>1</v>
      </c>
      <c r="BF143"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-58.846153846153811</v>
      </c>
      <c r="BG143" s="10">
        <f>2*(Дума_партии[[#This Row],[5. Всероссийская политическая партия "ЕДИНАЯ РОССИЯ"]]-(AB$203/100)*Дума_партии[[#This Row],[Число действительных избирательных бюллетеней]])</f>
        <v>-84.149999999999977</v>
      </c>
      <c r="BH143" s="10">
        <f>(Дума_партии[[#This Row],[Вброс]]+Дума_партии[[#This Row],[Перекладывание]])/2</f>
        <v>-71.498076923076894</v>
      </c>
    </row>
    <row r="144" spans="1:60" x14ac:dyDescent="0.4">
      <c r="A144" t="s">
        <v>49</v>
      </c>
      <c r="B144" t="s">
        <v>50</v>
      </c>
      <c r="C144" t="s">
        <v>51</v>
      </c>
      <c r="D144" t="s">
        <v>227</v>
      </c>
      <c r="E144" t="s">
        <v>272</v>
      </c>
      <c r="F144" s="8">
        <f t="shared" ca="1" si="80"/>
        <v>2015</v>
      </c>
      <c r="G144" s="1" t="s">
        <v>349</v>
      </c>
      <c r="H144" s="1" t="str">
        <f>LEFT(Дума_партии[[#This Row],[tik]],4)&amp;"."&amp;IF(ISNUMBER(VALUE(RIGHT(Дума_партии[[#This Row],[tik]]))),RIGHT(Дума_партии[[#This Row],[tik]]),"")</f>
        <v>Один.2</v>
      </c>
      <c r="I144">
        <v>2054</v>
      </c>
      <c r="J144" s="8">
        <f>Дума_партии[[#This Row],[Число избирателей, внесенных в список избирателей на момент окончания голосования]]</f>
        <v>2054</v>
      </c>
      <c r="K144">
        <v>2000</v>
      </c>
      <c r="L144">
        <v>0</v>
      </c>
      <c r="M144">
        <v>785</v>
      </c>
      <c r="N144">
        <v>42</v>
      </c>
      <c r="O144" s="3">
        <f t="shared" si="81"/>
        <v>40.26290165530672</v>
      </c>
      <c r="P144" s="3">
        <f t="shared" si="82"/>
        <v>2.044790652385589</v>
      </c>
      <c r="Q144">
        <v>1173</v>
      </c>
      <c r="R144">
        <v>38</v>
      </c>
      <c r="S144">
        <v>769</v>
      </c>
      <c r="T144" s="1">
        <f t="shared" si="83"/>
        <v>807</v>
      </c>
      <c r="U144" s="3">
        <f t="shared" si="84"/>
        <v>4.7087980173482036</v>
      </c>
      <c r="V144">
        <v>22</v>
      </c>
      <c r="W144" s="3">
        <f t="shared" si="85"/>
        <v>2.7261462205700124</v>
      </c>
      <c r="X144">
        <v>785</v>
      </c>
      <c r="Y144">
        <v>0</v>
      </c>
      <c r="Z144">
        <v>0</v>
      </c>
      <c r="AA144">
        <v>229</v>
      </c>
      <c r="AB144" s="3">
        <f t="shared" si="86"/>
        <v>28.376703841387855</v>
      </c>
      <c r="AC144">
        <v>8</v>
      </c>
      <c r="AD144" s="3">
        <f t="shared" si="87"/>
        <v>0.99132589838909546</v>
      </c>
      <c r="AE144">
        <v>78</v>
      </c>
      <c r="AF144" s="3">
        <f t="shared" si="88"/>
        <v>9.6654275092936803</v>
      </c>
      <c r="AG144">
        <v>58</v>
      </c>
      <c r="AH144" s="3">
        <f t="shared" si="89"/>
        <v>7.1871127633209415</v>
      </c>
      <c r="AI144">
        <v>234</v>
      </c>
      <c r="AJ144" s="3">
        <f t="shared" si="90"/>
        <v>28.996282527881039</v>
      </c>
      <c r="AK144">
        <v>82</v>
      </c>
      <c r="AL144" s="3">
        <f t="shared" si="91"/>
        <v>10.161090458488228</v>
      </c>
      <c r="AM144">
        <v>19</v>
      </c>
      <c r="AN144" s="3">
        <f t="shared" si="92"/>
        <v>2.3543990086741018</v>
      </c>
      <c r="AO144">
        <v>6</v>
      </c>
      <c r="AP144" s="3">
        <f t="shared" si="93"/>
        <v>0.74349442379182151</v>
      </c>
      <c r="AQ144">
        <v>11</v>
      </c>
      <c r="AR144" s="3">
        <f t="shared" si="94"/>
        <v>1.3630731102850062</v>
      </c>
      <c r="AS144">
        <v>14</v>
      </c>
      <c r="AT144" s="3">
        <f t="shared" si="95"/>
        <v>1.7348203221809171</v>
      </c>
      <c r="AU144">
        <v>0</v>
      </c>
      <c r="AV144" s="3">
        <f t="shared" si="96"/>
        <v>0</v>
      </c>
      <c r="AW144">
        <v>8</v>
      </c>
      <c r="AX144" s="3">
        <f t="shared" si="97"/>
        <v>0.99132589838909546</v>
      </c>
      <c r="AY144">
        <v>12</v>
      </c>
      <c r="AZ144" s="3">
        <f t="shared" si="98"/>
        <v>1.486988847583643</v>
      </c>
      <c r="BA144">
        <v>26</v>
      </c>
      <c r="BB144" s="3">
        <f t="shared" si="99"/>
        <v>3.2218091697645601</v>
      </c>
      <c r="BC144" t="s">
        <v>315</v>
      </c>
      <c r="BD144" s="72">
        <v>2017</v>
      </c>
      <c r="BE144" s="1"/>
      <c r="BF144"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14.370629370629416</v>
      </c>
      <c r="BG144" s="10">
        <f>2*(Дума_партии[[#This Row],[5. Всероссийская политическая партия "ЕДИНАЯ РОССИЯ"]]-(AB$203/100)*Дума_партии[[#This Row],[Число действительных избирательных бюллетеней]])</f>
        <v>20.550000000000011</v>
      </c>
      <c r="BH144" s="10">
        <f>(Дума_партии[[#This Row],[Вброс]]+Дума_партии[[#This Row],[Перекладывание]])/2</f>
        <v>17.460314685314714</v>
      </c>
    </row>
    <row r="145" spans="1:60" x14ac:dyDescent="0.4">
      <c r="A145" t="s">
        <v>49</v>
      </c>
      <c r="B145" t="s">
        <v>50</v>
      </c>
      <c r="C145" t="s">
        <v>51</v>
      </c>
      <c r="D145" t="s">
        <v>227</v>
      </c>
      <c r="E145" t="s">
        <v>273</v>
      </c>
      <c r="F145" s="8">
        <f t="shared" ca="1" si="80"/>
        <v>2017</v>
      </c>
      <c r="G145" s="1" t="s">
        <v>349</v>
      </c>
      <c r="H145" s="1" t="str">
        <f>LEFT(Дума_партии[[#This Row],[tik]],4)&amp;"."&amp;IF(ISNUMBER(VALUE(RIGHT(Дума_партии[[#This Row],[tik]]))),RIGHT(Дума_партии[[#This Row],[tik]]),"")</f>
        <v>Один.2</v>
      </c>
      <c r="I145">
        <v>2109</v>
      </c>
      <c r="J145" s="8">
        <f>Дума_партии[[#This Row],[Число избирателей, внесенных в список избирателей на момент окончания голосования]]</f>
        <v>2109</v>
      </c>
      <c r="K145">
        <v>1600</v>
      </c>
      <c r="L145">
        <v>0</v>
      </c>
      <c r="M145">
        <v>766</v>
      </c>
      <c r="N145">
        <v>43</v>
      </c>
      <c r="O145" s="3">
        <f t="shared" si="81"/>
        <v>38.359412043622569</v>
      </c>
      <c r="P145" s="3">
        <f t="shared" si="82"/>
        <v>2.0388809862494073</v>
      </c>
      <c r="Q145">
        <v>791</v>
      </c>
      <c r="R145">
        <v>43</v>
      </c>
      <c r="S145">
        <v>725</v>
      </c>
      <c r="T145" s="1">
        <f t="shared" si="83"/>
        <v>768</v>
      </c>
      <c r="U145" s="3">
        <f t="shared" si="84"/>
        <v>5.598958333333333</v>
      </c>
      <c r="V145">
        <v>19</v>
      </c>
      <c r="W145" s="3">
        <f t="shared" si="85"/>
        <v>2.4739583333333335</v>
      </c>
      <c r="X145">
        <v>749</v>
      </c>
      <c r="Y145">
        <v>0</v>
      </c>
      <c r="Z145">
        <v>0</v>
      </c>
      <c r="AA145">
        <v>214</v>
      </c>
      <c r="AB145" s="3">
        <f t="shared" si="86"/>
        <v>27.864583333333332</v>
      </c>
      <c r="AC145">
        <v>8</v>
      </c>
      <c r="AD145" s="3">
        <f t="shared" si="87"/>
        <v>1.0416666666666667</v>
      </c>
      <c r="AE145">
        <v>65</v>
      </c>
      <c r="AF145" s="3">
        <f t="shared" si="88"/>
        <v>8.4635416666666661</v>
      </c>
      <c r="AG145">
        <v>53</v>
      </c>
      <c r="AH145" s="3">
        <f t="shared" si="89"/>
        <v>6.901041666666667</v>
      </c>
      <c r="AI145">
        <v>241</v>
      </c>
      <c r="AJ145" s="3">
        <f t="shared" si="90"/>
        <v>31.380208333333332</v>
      </c>
      <c r="AK145">
        <v>78</v>
      </c>
      <c r="AL145" s="3">
        <f t="shared" si="91"/>
        <v>10.15625</v>
      </c>
      <c r="AM145">
        <v>27</v>
      </c>
      <c r="AN145" s="3">
        <f t="shared" si="92"/>
        <v>3.515625</v>
      </c>
      <c r="AO145">
        <v>4</v>
      </c>
      <c r="AP145" s="3">
        <f t="shared" si="93"/>
        <v>0.52083333333333337</v>
      </c>
      <c r="AQ145">
        <v>5</v>
      </c>
      <c r="AR145" s="3">
        <f t="shared" si="94"/>
        <v>0.65104166666666663</v>
      </c>
      <c r="AS145">
        <v>9</v>
      </c>
      <c r="AT145" s="3">
        <f t="shared" si="95"/>
        <v>1.171875</v>
      </c>
      <c r="AU145">
        <v>2</v>
      </c>
      <c r="AV145" s="3">
        <f t="shared" si="96"/>
        <v>0.26041666666666669</v>
      </c>
      <c r="AW145">
        <v>11</v>
      </c>
      <c r="AX145" s="3">
        <f t="shared" si="97"/>
        <v>1.4322916666666667</v>
      </c>
      <c r="AY145">
        <v>6</v>
      </c>
      <c r="AZ145" s="3">
        <f t="shared" si="98"/>
        <v>0.78125</v>
      </c>
      <c r="BA145">
        <v>26</v>
      </c>
      <c r="BB145" s="3">
        <f t="shared" si="99"/>
        <v>3.3854166666666665</v>
      </c>
      <c r="BC145" t="s">
        <v>315</v>
      </c>
      <c r="BD145" s="72">
        <v>2017</v>
      </c>
      <c r="BE145" s="1"/>
      <c r="BF145"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38.510489510489549</v>
      </c>
      <c r="BG145" s="10">
        <f>2*(Дума_партии[[#This Row],[5. Всероссийская политическая партия "ЕДИНАЯ РОССИЯ"]]-(AB$203/100)*Дума_партии[[#This Row],[Число действительных избирательных бюллетеней]])</f>
        <v>55.07000000000005</v>
      </c>
      <c r="BH145" s="10">
        <f>(Дума_партии[[#This Row],[Вброс]]+Дума_партии[[#This Row],[Перекладывание]])/2</f>
        <v>46.7902447552448</v>
      </c>
    </row>
    <row r="146" spans="1:60" x14ac:dyDescent="0.4">
      <c r="A146" t="s">
        <v>49</v>
      </c>
      <c r="B146" t="s">
        <v>50</v>
      </c>
      <c r="C146" t="s">
        <v>51</v>
      </c>
      <c r="D146" t="s">
        <v>227</v>
      </c>
      <c r="E146" t="s">
        <v>274</v>
      </c>
      <c r="F146" s="8">
        <f t="shared" ca="1" si="80"/>
        <v>2019</v>
      </c>
      <c r="G146" s="1" t="s">
        <v>349</v>
      </c>
      <c r="H146" s="1" t="str">
        <f>LEFT(Дума_партии[[#This Row],[tik]],4)&amp;"."&amp;IF(ISNUMBER(VALUE(RIGHT(Дума_партии[[#This Row],[tik]]))),RIGHT(Дума_партии[[#This Row],[tik]]),"")</f>
        <v>Один.2</v>
      </c>
      <c r="I146">
        <v>1256</v>
      </c>
      <c r="J146" s="8">
        <f>Дума_партии[[#This Row],[Число избирателей, внесенных в список избирателей на момент окончания голосования]]</f>
        <v>1256</v>
      </c>
      <c r="K146">
        <v>1000</v>
      </c>
      <c r="L146">
        <v>0</v>
      </c>
      <c r="M146">
        <v>383</v>
      </c>
      <c r="N146">
        <v>3</v>
      </c>
      <c r="O146" s="3">
        <f t="shared" si="81"/>
        <v>30.732484076433121</v>
      </c>
      <c r="P146" s="3">
        <f t="shared" si="82"/>
        <v>0.23885350318471338</v>
      </c>
      <c r="Q146">
        <v>614</v>
      </c>
      <c r="R146">
        <v>3</v>
      </c>
      <c r="S146">
        <v>383</v>
      </c>
      <c r="T146" s="1">
        <f t="shared" si="83"/>
        <v>386</v>
      </c>
      <c r="U146" s="3">
        <f t="shared" si="84"/>
        <v>0.77720207253886009</v>
      </c>
      <c r="V146">
        <v>9</v>
      </c>
      <c r="W146" s="3">
        <f t="shared" si="85"/>
        <v>2.3316062176165802</v>
      </c>
      <c r="X146">
        <v>377</v>
      </c>
      <c r="Y146">
        <v>0</v>
      </c>
      <c r="Z146">
        <v>0</v>
      </c>
      <c r="AA146">
        <v>119</v>
      </c>
      <c r="AB146" s="3">
        <f t="shared" si="86"/>
        <v>30.82901554404145</v>
      </c>
      <c r="AC146">
        <v>7</v>
      </c>
      <c r="AD146" s="3">
        <f t="shared" si="87"/>
        <v>1.8134715025906736</v>
      </c>
      <c r="AE146">
        <v>45</v>
      </c>
      <c r="AF146" s="3">
        <f t="shared" si="88"/>
        <v>11.658031088082902</v>
      </c>
      <c r="AG146">
        <v>30</v>
      </c>
      <c r="AH146" s="3">
        <f t="shared" si="89"/>
        <v>7.7720207253886011</v>
      </c>
      <c r="AI146">
        <v>95</v>
      </c>
      <c r="AJ146" s="3">
        <f t="shared" si="90"/>
        <v>24.611398963730569</v>
      </c>
      <c r="AK146">
        <v>36</v>
      </c>
      <c r="AL146" s="3">
        <f t="shared" si="91"/>
        <v>9.3264248704663206</v>
      </c>
      <c r="AM146">
        <v>13</v>
      </c>
      <c r="AN146" s="3">
        <f t="shared" si="92"/>
        <v>3.3678756476683938</v>
      </c>
      <c r="AO146">
        <v>1</v>
      </c>
      <c r="AP146" s="3">
        <f t="shared" si="93"/>
        <v>0.25906735751295334</v>
      </c>
      <c r="AQ146">
        <v>8</v>
      </c>
      <c r="AR146" s="3">
        <f t="shared" si="94"/>
        <v>2.0725388601036268</v>
      </c>
      <c r="AS146">
        <v>5</v>
      </c>
      <c r="AT146" s="3">
        <f t="shared" si="95"/>
        <v>1.2953367875647668</v>
      </c>
      <c r="AU146">
        <v>0</v>
      </c>
      <c r="AV146" s="3">
        <f t="shared" si="96"/>
        <v>0</v>
      </c>
      <c r="AW146">
        <v>2</v>
      </c>
      <c r="AX146" s="3">
        <f t="shared" si="97"/>
        <v>0.51813471502590669</v>
      </c>
      <c r="AY146">
        <v>3</v>
      </c>
      <c r="AZ146" s="3">
        <f t="shared" si="98"/>
        <v>0.77720207253886009</v>
      </c>
      <c r="BA146">
        <v>13</v>
      </c>
      <c r="BB146" s="3">
        <f t="shared" si="99"/>
        <v>3.3678756476683938</v>
      </c>
      <c r="BC146" t="s">
        <v>315</v>
      </c>
      <c r="BD146" s="72">
        <v>2017</v>
      </c>
      <c r="BE146" s="1">
        <v>1</v>
      </c>
      <c r="BF146"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-17.405594405594385</v>
      </c>
      <c r="BG146" s="10">
        <f>2*(Дума_партии[[#This Row],[5. Всероссийская политическая партия "ЕДИНАЯ РОССИЯ"]]-(AB$203/100)*Дума_партии[[#This Row],[Число действительных избирательных бюллетеней]])</f>
        <v>-24.889999999999986</v>
      </c>
      <c r="BH146" s="10">
        <f>(Дума_партии[[#This Row],[Вброс]]+Дума_партии[[#This Row],[Перекладывание]])/2</f>
        <v>-21.147797202797186</v>
      </c>
    </row>
    <row r="147" spans="1:60" x14ac:dyDescent="0.4">
      <c r="A147" t="s">
        <v>49</v>
      </c>
      <c r="B147" t="s">
        <v>50</v>
      </c>
      <c r="C147" t="s">
        <v>51</v>
      </c>
      <c r="D147" t="s">
        <v>227</v>
      </c>
      <c r="E147" t="s">
        <v>275</v>
      </c>
      <c r="F147" s="8">
        <f t="shared" ca="1" si="80"/>
        <v>2020</v>
      </c>
      <c r="G147" s="1" t="s">
        <v>349</v>
      </c>
      <c r="H147" s="1" t="str">
        <f>LEFT(Дума_партии[[#This Row],[tik]],4)&amp;"."&amp;IF(ISNUMBER(VALUE(RIGHT(Дума_партии[[#This Row],[tik]]))),RIGHT(Дума_партии[[#This Row],[tik]]),"")</f>
        <v>Один.2</v>
      </c>
      <c r="I147">
        <v>1272</v>
      </c>
      <c r="J147" s="8">
        <f>Дума_партии[[#This Row],[Число избирателей, внесенных в список избирателей на момент окончания голосования]]</f>
        <v>1272</v>
      </c>
      <c r="K147">
        <v>1000</v>
      </c>
      <c r="L147">
        <v>0</v>
      </c>
      <c r="M147">
        <v>464</v>
      </c>
      <c r="N147">
        <v>7</v>
      </c>
      <c r="O147" s="3">
        <f t="shared" si="81"/>
        <v>37.028301886792455</v>
      </c>
      <c r="P147" s="3">
        <f t="shared" si="82"/>
        <v>0.55031446540880502</v>
      </c>
      <c r="Q147">
        <v>529</v>
      </c>
      <c r="R147">
        <v>7</v>
      </c>
      <c r="S147">
        <v>462</v>
      </c>
      <c r="T147" s="1">
        <f t="shared" si="83"/>
        <v>469</v>
      </c>
      <c r="U147" s="3">
        <f t="shared" si="84"/>
        <v>1.4925373134328359</v>
      </c>
      <c r="V147">
        <v>14</v>
      </c>
      <c r="W147" s="3">
        <f t="shared" si="85"/>
        <v>2.9850746268656718</v>
      </c>
      <c r="X147">
        <v>455</v>
      </c>
      <c r="Y147">
        <v>0</v>
      </c>
      <c r="Z147">
        <v>0</v>
      </c>
      <c r="AA147">
        <v>128</v>
      </c>
      <c r="AB147" s="3">
        <f t="shared" si="86"/>
        <v>27.292110874200425</v>
      </c>
      <c r="AC147">
        <v>10</v>
      </c>
      <c r="AD147" s="3">
        <f t="shared" si="87"/>
        <v>2.1321961620469083</v>
      </c>
      <c r="AE147">
        <v>27</v>
      </c>
      <c r="AF147" s="3">
        <f t="shared" si="88"/>
        <v>5.7569296375266523</v>
      </c>
      <c r="AG147">
        <v>45</v>
      </c>
      <c r="AH147" s="3">
        <f t="shared" si="89"/>
        <v>9.5948827292110881</v>
      </c>
      <c r="AI147">
        <v>134</v>
      </c>
      <c r="AJ147" s="3">
        <f t="shared" si="90"/>
        <v>28.571428571428573</v>
      </c>
      <c r="AK147">
        <v>47</v>
      </c>
      <c r="AL147" s="3">
        <f t="shared" si="91"/>
        <v>10.021321961620469</v>
      </c>
      <c r="AM147">
        <v>24</v>
      </c>
      <c r="AN147" s="3">
        <f t="shared" si="92"/>
        <v>5.1172707889125801</v>
      </c>
      <c r="AO147">
        <v>4</v>
      </c>
      <c r="AP147" s="3">
        <f t="shared" si="93"/>
        <v>0.85287846481876328</v>
      </c>
      <c r="AQ147">
        <v>6</v>
      </c>
      <c r="AR147" s="3">
        <f t="shared" si="94"/>
        <v>1.279317697228145</v>
      </c>
      <c r="AS147">
        <v>5</v>
      </c>
      <c r="AT147" s="3">
        <f t="shared" si="95"/>
        <v>1.0660980810234542</v>
      </c>
      <c r="AU147">
        <v>1</v>
      </c>
      <c r="AV147" s="3">
        <f t="shared" si="96"/>
        <v>0.21321961620469082</v>
      </c>
      <c r="AW147">
        <v>7</v>
      </c>
      <c r="AX147" s="3">
        <f t="shared" si="97"/>
        <v>1.4925373134328359</v>
      </c>
      <c r="AY147">
        <v>3</v>
      </c>
      <c r="AZ147" s="3">
        <f t="shared" si="98"/>
        <v>0.63965884861407252</v>
      </c>
      <c r="BA147">
        <v>14</v>
      </c>
      <c r="BB147" s="3">
        <f t="shared" si="99"/>
        <v>2.9850746268656718</v>
      </c>
      <c r="BC147" t="s">
        <v>315</v>
      </c>
      <c r="BD147" s="72">
        <v>2017</v>
      </c>
      <c r="BE147" s="1"/>
      <c r="BF147"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6.0489510489510678</v>
      </c>
      <c r="BG147" s="10">
        <f>2*(Дума_партии[[#This Row],[5. Всероссийская политическая партия "ЕДИНАЯ РОССИЯ"]]-(AB$203/100)*Дума_партии[[#This Row],[Число действительных избирательных бюллетеней]])</f>
        <v>8.6500000000000341</v>
      </c>
      <c r="BH147" s="10">
        <f>(Дума_партии[[#This Row],[Вброс]]+Дума_партии[[#This Row],[Перекладывание]])/2</f>
        <v>7.349475524475551</v>
      </c>
    </row>
    <row r="148" spans="1:60" x14ac:dyDescent="0.4">
      <c r="A148" t="s">
        <v>49</v>
      </c>
      <c r="B148" t="s">
        <v>50</v>
      </c>
      <c r="C148" t="s">
        <v>51</v>
      </c>
      <c r="D148" t="s">
        <v>227</v>
      </c>
      <c r="E148" t="s">
        <v>276</v>
      </c>
      <c r="F148" s="8">
        <f t="shared" ca="1" si="80"/>
        <v>2021</v>
      </c>
      <c r="G148" s="1" t="s">
        <v>349</v>
      </c>
      <c r="H148" s="1" t="str">
        <f>LEFT(Дума_партии[[#This Row],[tik]],4)&amp;"."&amp;IF(ISNUMBER(VALUE(RIGHT(Дума_партии[[#This Row],[tik]]))),RIGHT(Дума_партии[[#This Row],[tik]]),"")</f>
        <v>Один.2</v>
      </c>
      <c r="I148">
        <v>1023</v>
      </c>
      <c r="J148" s="8">
        <f>Дума_партии[[#This Row],[Число избирателей, внесенных в список избирателей на момент окончания голосования]]</f>
        <v>1023</v>
      </c>
      <c r="K148">
        <v>800</v>
      </c>
      <c r="L148">
        <v>0</v>
      </c>
      <c r="M148">
        <v>353</v>
      </c>
      <c r="N148">
        <v>8</v>
      </c>
      <c r="O148" s="3">
        <f t="shared" si="81"/>
        <v>35.288367546432063</v>
      </c>
      <c r="P148" s="3">
        <f t="shared" si="82"/>
        <v>0.78201368523949166</v>
      </c>
      <c r="Q148">
        <v>439</v>
      </c>
      <c r="R148">
        <v>8</v>
      </c>
      <c r="S148">
        <v>353</v>
      </c>
      <c r="T148" s="1">
        <f t="shared" si="83"/>
        <v>361</v>
      </c>
      <c r="U148" s="3">
        <f t="shared" si="84"/>
        <v>2.21606648199446</v>
      </c>
      <c r="V148">
        <v>124</v>
      </c>
      <c r="W148" s="3">
        <f t="shared" si="85"/>
        <v>34.34903047091413</v>
      </c>
      <c r="X148">
        <v>237</v>
      </c>
      <c r="Y148">
        <v>0</v>
      </c>
      <c r="Z148">
        <v>0</v>
      </c>
      <c r="AA148">
        <v>68</v>
      </c>
      <c r="AB148" s="3">
        <f t="shared" si="86"/>
        <v>18.83656509695291</v>
      </c>
      <c r="AC148">
        <v>3</v>
      </c>
      <c r="AD148" s="3">
        <f t="shared" si="87"/>
        <v>0.83102493074792239</v>
      </c>
      <c r="AE148">
        <v>19</v>
      </c>
      <c r="AF148" s="3">
        <f t="shared" si="88"/>
        <v>5.2631578947368425</v>
      </c>
      <c r="AG148">
        <v>19</v>
      </c>
      <c r="AH148" s="3">
        <f t="shared" si="89"/>
        <v>5.2631578947368425</v>
      </c>
      <c r="AI148">
        <v>63</v>
      </c>
      <c r="AJ148" s="3">
        <f t="shared" si="90"/>
        <v>17.451523545706372</v>
      </c>
      <c r="AK148">
        <v>36</v>
      </c>
      <c r="AL148" s="3">
        <f t="shared" si="91"/>
        <v>9.97229916897507</v>
      </c>
      <c r="AM148">
        <v>10</v>
      </c>
      <c r="AN148" s="3">
        <f t="shared" si="92"/>
        <v>2.770083102493075</v>
      </c>
      <c r="AO148">
        <v>3</v>
      </c>
      <c r="AP148" s="3">
        <f t="shared" si="93"/>
        <v>0.83102493074792239</v>
      </c>
      <c r="AQ148">
        <v>0</v>
      </c>
      <c r="AR148" s="3">
        <f t="shared" si="94"/>
        <v>0</v>
      </c>
      <c r="AS148">
        <v>3</v>
      </c>
      <c r="AT148" s="3">
        <f t="shared" si="95"/>
        <v>0.83102493074792239</v>
      </c>
      <c r="AU148">
        <v>0</v>
      </c>
      <c r="AV148" s="3">
        <f t="shared" si="96"/>
        <v>0</v>
      </c>
      <c r="AW148">
        <v>2</v>
      </c>
      <c r="AX148" s="3">
        <f t="shared" si="97"/>
        <v>0.554016620498615</v>
      </c>
      <c r="AY148">
        <v>1</v>
      </c>
      <c r="AZ148" s="3">
        <f t="shared" si="98"/>
        <v>0.2770083102493075</v>
      </c>
      <c r="BA148">
        <v>10</v>
      </c>
      <c r="BB148" s="3">
        <f t="shared" si="99"/>
        <v>2.770083102493075</v>
      </c>
      <c r="BC148" t="s">
        <v>315</v>
      </c>
      <c r="BD148" s="72">
        <v>2017</v>
      </c>
      <c r="BE148" s="1">
        <v>2</v>
      </c>
      <c r="BF148"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-6.356643356643346</v>
      </c>
      <c r="BG148" s="10">
        <f>2*(Дума_партии[[#This Row],[5. Всероссийская политическая партия "ЕДИНАЯ РОССИЯ"]]-(AB$203/100)*Дума_партии[[#This Row],[Число действительных избирательных бюллетеней]])</f>
        <v>-9.089999999999975</v>
      </c>
      <c r="BH148" s="10">
        <f>(Дума_партии[[#This Row],[Вброс]]+Дума_партии[[#This Row],[Перекладывание]])/2</f>
        <v>-7.7233216783216605</v>
      </c>
    </row>
    <row r="149" spans="1:60" x14ac:dyDescent="0.4">
      <c r="A149" t="s">
        <v>49</v>
      </c>
      <c r="B149" t="s">
        <v>50</v>
      </c>
      <c r="C149" t="s">
        <v>51</v>
      </c>
      <c r="D149" t="s">
        <v>227</v>
      </c>
      <c r="E149" t="s">
        <v>277</v>
      </c>
      <c r="F149" s="8">
        <f t="shared" ca="1" si="80"/>
        <v>2022</v>
      </c>
      <c r="G149" s="1" t="s">
        <v>349</v>
      </c>
      <c r="H149" s="1" t="str">
        <f>LEFT(Дума_партии[[#This Row],[tik]],4)&amp;"."&amp;IF(ISNUMBER(VALUE(RIGHT(Дума_партии[[#This Row],[tik]]))),RIGHT(Дума_партии[[#This Row],[tik]]),"")</f>
        <v>Один.2</v>
      </c>
      <c r="I149">
        <v>1911</v>
      </c>
      <c r="J149" s="8">
        <f>Дума_партии[[#This Row],[Число избирателей, внесенных в список избирателей на момент окончания голосования]]</f>
        <v>1911</v>
      </c>
      <c r="K149">
        <v>1500</v>
      </c>
      <c r="L149">
        <v>0</v>
      </c>
      <c r="M149">
        <v>616</v>
      </c>
      <c r="N149">
        <v>39</v>
      </c>
      <c r="O149" s="3">
        <f t="shared" si="81"/>
        <v>34.275248560962844</v>
      </c>
      <c r="P149" s="3">
        <f t="shared" si="82"/>
        <v>2.0408163265306123</v>
      </c>
      <c r="Q149">
        <v>845</v>
      </c>
      <c r="R149">
        <v>39</v>
      </c>
      <c r="S149">
        <v>616</v>
      </c>
      <c r="T149" s="1">
        <f t="shared" si="83"/>
        <v>655</v>
      </c>
      <c r="U149" s="3">
        <f t="shared" si="84"/>
        <v>5.9541984732824424</v>
      </c>
      <c r="V149">
        <v>11</v>
      </c>
      <c r="W149" s="3">
        <f t="shared" si="85"/>
        <v>1.6793893129770991</v>
      </c>
      <c r="X149">
        <v>644</v>
      </c>
      <c r="Y149">
        <v>0</v>
      </c>
      <c r="Z149">
        <v>0</v>
      </c>
      <c r="AA149">
        <v>182</v>
      </c>
      <c r="AB149" s="3">
        <f t="shared" si="86"/>
        <v>27.786259541984734</v>
      </c>
      <c r="AC149">
        <v>17</v>
      </c>
      <c r="AD149" s="3">
        <f t="shared" si="87"/>
        <v>2.5954198473282442</v>
      </c>
      <c r="AE149">
        <v>60</v>
      </c>
      <c r="AF149" s="3">
        <f t="shared" si="88"/>
        <v>9.1603053435114496</v>
      </c>
      <c r="AG149">
        <v>48</v>
      </c>
      <c r="AH149" s="3">
        <f t="shared" si="89"/>
        <v>7.3282442748091601</v>
      </c>
      <c r="AI149">
        <v>185</v>
      </c>
      <c r="AJ149" s="3">
        <f t="shared" si="90"/>
        <v>28.244274809160306</v>
      </c>
      <c r="AK149">
        <v>62</v>
      </c>
      <c r="AL149" s="3">
        <f t="shared" si="91"/>
        <v>9.4656488549618327</v>
      </c>
      <c r="AM149">
        <v>23</v>
      </c>
      <c r="AN149" s="3">
        <f t="shared" si="92"/>
        <v>3.5114503816793894</v>
      </c>
      <c r="AO149">
        <v>3</v>
      </c>
      <c r="AP149" s="3">
        <f t="shared" si="93"/>
        <v>0.4580152671755725</v>
      </c>
      <c r="AQ149">
        <v>8</v>
      </c>
      <c r="AR149" s="3">
        <f t="shared" si="94"/>
        <v>1.2213740458015268</v>
      </c>
      <c r="AS149">
        <v>16</v>
      </c>
      <c r="AT149" s="3">
        <f t="shared" si="95"/>
        <v>2.4427480916030535</v>
      </c>
      <c r="AU149">
        <v>2</v>
      </c>
      <c r="AV149" s="3">
        <f t="shared" si="96"/>
        <v>0.30534351145038169</v>
      </c>
      <c r="AW149">
        <v>13</v>
      </c>
      <c r="AX149" s="3">
        <f t="shared" si="97"/>
        <v>1.9847328244274809</v>
      </c>
      <c r="AY149">
        <v>9</v>
      </c>
      <c r="AZ149" s="3">
        <f t="shared" si="98"/>
        <v>1.3740458015267176</v>
      </c>
      <c r="BA149">
        <v>16</v>
      </c>
      <c r="BB149" s="3">
        <f t="shared" si="99"/>
        <v>2.4427480916030535</v>
      </c>
      <c r="BC149" t="s">
        <v>315</v>
      </c>
      <c r="BD149" s="72">
        <v>2017</v>
      </c>
      <c r="BE149" s="1"/>
      <c r="BF149"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2.0419580419580825</v>
      </c>
      <c r="BG149" s="10">
        <f>2*(Дума_партии[[#This Row],[5. Всероссийская политическая партия "ЕДИНАЯ РОССИЯ"]]-(AB$203/100)*Дума_партии[[#This Row],[Число действительных избирательных бюллетеней]])</f>
        <v>2.9200000000000159</v>
      </c>
      <c r="BH149" s="10">
        <f>(Дума_партии[[#This Row],[Вброс]]+Дума_партии[[#This Row],[Перекладывание]])/2</f>
        <v>2.4809790209790492</v>
      </c>
    </row>
    <row r="150" spans="1:60" x14ac:dyDescent="0.4">
      <c r="A150" t="s">
        <v>49</v>
      </c>
      <c r="B150" t="s">
        <v>50</v>
      </c>
      <c r="C150" t="s">
        <v>51</v>
      </c>
      <c r="D150" t="s">
        <v>227</v>
      </c>
      <c r="E150" t="s">
        <v>278</v>
      </c>
      <c r="F150" s="8">
        <f t="shared" ca="1" si="80"/>
        <v>2024</v>
      </c>
      <c r="G150" s="1" t="s">
        <v>349</v>
      </c>
      <c r="H150" s="1" t="str">
        <f>LEFT(Дума_партии[[#This Row],[tik]],4)&amp;"."&amp;IF(ISNUMBER(VALUE(RIGHT(Дума_партии[[#This Row],[tik]]))),RIGHT(Дума_партии[[#This Row],[tik]]),"")</f>
        <v>Один.2</v>
      </c>
      <c r="I150">
        <v>2337</v>
      </c>
      <c r="J150" s="8">
        <f>Дума_партии[[#This Row],[Число избирателей, внесенных в список избирателей на момент окончания голосования]]</f>
        <v>2337</v>
      </c>
      <c r="K150">
        <v>1800</v>
      </c>
      <c r="L150">
        <v>0</v>
      </c>
      <c r="M150">
        <v>853</v>
      </c>
      <c r="N150">
        <v>38</v>
      </c>
      <c r="O150" s="3">
        <f t="shared" si="81"/>
        <v>38.125802310654684</v>
      </c>
      <c r="P150" s="3">
        <f t="shared" si="82"/>
        <v>1.6260162601626016</v>
      </c>
      <c r="Q150">
        <v>909</v>
      </c>
      <c r="R150">
        <v>38</v>
      </c>
      <c r="S150">
        <v>848</v>
      </c>
      <c r="T150" s="1">
        <f t="shared" si="83"/>
        <v>886</v>
      </c>
      <c r="U150" s="3">
        <f t="shared" si="84"/>
        <v>4.288939051918736</v>
      </c>
      <c r="V150">
        <v>21</v>
      </c>
      <c r="W150" s="3">
        <f t="shared" si="85"/>
        <v>2.3702031602708802</v>
      </c>
      <c r="X150">
        <v>865</v>
      </c>
      <c r="Y150">
        <v>0</v>
      </c>
      <c r="Z150">
        <v>0</v>
      </c>
      <c r="AA150">
        <v>240</v>
      </c>
      <c r="AB150" s="3">
        <f t="shared" si="86"/>
        <v>27.088036117381488</v>
      </c>
      <c r="AC150">
        <v>10</v>
      </c>
      <c r="AD150" s="3">
        <f t="shared" si="87"/>
        <v>1.1286681715575622</v>
      </c>
      <c r="AE150">
        <v>84</v>
      </c>
      <c r="AF150" s="3">
        <f t="shared" si="88"/>
        <v>9.4808126410835207</v>
      </c>
      <c r="AG150">
        <v>56</v>
      </c>
      <c r="AH150" s="3">
        <f t="shared" si="89"/>
        <v>6.3205417607223477</v>
      </c>
      <c r="AI150">
        <v>269</v>
      </c>
      <c r="AJ150" s="3">
        <f t="shared" si="90"/>
        <v>30.361173814898422</v>
      </c>
      <c r="AK150">
        <v>89</v>
      </c>
      <c r="AL150" s="3">
        <f t="shared" si="91"/>
        <v>10.045146726862303</v>
      </c>
      <c r="AM150">
        <v>27</v>
      </c>
      <c r="AN150" s="3">
        <f t="shared" si="92"/>
        <v>3.0474040632054176</v>
      </c>
      <c r="AO150">
        <v>5</v>
      </c>
      <c r="AP150" s="3">
        <f t="shared" si="93"/>
        <v>0.56433408577878108</v>
      </c>
      <c r="AQ150">
        <v>9</v>
      </c>
      <c r="AR150" s="3">
        <f t="shared" si="94"/>
        <v>1.0158013544018059</v>
      </c>
      <c r="AS150">
        <v>18</v>
      </c>
      <c r="AT150" s="3">
        <f t="shared" si="95"/>
        <v>2.0316027088036117</v>
      </c>
      <c r="AU150">
        <v>2</v>
      </c>
      <c r="AV150" s="3">
        <f t="shared" si="96"/>
        <v>0.22573363431151242</v>
      </c>
      <c r="AW150">
        <v>19</v>
      </c>
      <c r="AX150" s="3">
        <f t="shared" si="97"/>
        <v>2.144469525959368</v>
      </c>
      <c r="AY150">
        <v>12</v>
      </c>
      <c r="AZ150" s="3">
        <f t="shared" si="98"/>
        <v>1.3544018058690745</v>
      </c>
      <c r="BA150">
        <v>25</v>
      </c>
      <c r="BB150" s="3">
        <f t="shared" si="99"/>
        <v>2.8216704288939054</v>
      </c>
      <c r="BC150" t="s">
        <v>315</v>
      </c>
      <c r="BD150" s="72">
        <v>2017</v>
      </c>
      <c r="BE150" s="1">
        <v>1</v>
      </c>
      <c r="BF150"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31.433566433566483</v>
      </c>
      <c r="BG150" s="10">
        <f>2*(Дума_партии[[#This Row],[5. Всероссийская политическая партия "ЕДИНАЯ РОССИЯ"]]-(AB$203/100)*Дума_партии[[#This Row],[Число действительных избирательных бюллетеней]])</f>
        <v>44.950000000000045</v>
      </c>
      <c r="BH150" s="10">
        <f>(Дума_партии[[#This Row],[Вброс]]+Дума_партии[[#This Row],[Перекладывание]])/2</f>
        <v>38.191783216783264</v>
      </c>
    </row>
    <row r="151" spans="1:60" x14ac:dyDescent="0.4">
      <c r="A151" t="s">
        <v>49</v>
      </c>
      <c r="B151" t="s">
        <v>50</v>
      </c>
      <c r="C151" t="s">
        <v>51</v>
      </c>
      <c r="D151" t="s">
        <v>227</v>
      </c>
      <c r="E151" t="s">
        <v>279</v>
      </c>
      <c r="F151" s="8">
        <f t="shared" ca="1" si="80"/>
        <v>2025</v>
      </c>
      <c r="G151" s="1" t="s">
        <v>349</v>
      </c>
      <c r="H151" s="1" t="str">
        <f>LEFT(Дума_партии[[#This Row],[tik]],4)&amp;"."&amp;IF(ISNUMBER(VALUE(RIGHT(Дума_партии[[#This Row],[tik]]))),RIGHT(Дума_партии[[#This Row],[tik]]),"")</f>
        <v>Один.2</v>
      </c>
      <c r="I151">
        <v>2226</v>
      </c>
      <c r="J151" s="8">
        <f>Дума_партии[[#This Row],[Число избирателей, внесенных в список избирателей на момент окончания голосования]]</f>
        <v>2226</v>
      </c>
      <c r="K151">
        <v>1800</v>
      </c>
      <c r="L151">
        <v>0</v>
      </c>
      <c r="M151">
        <v>790</v>
      </c>
      <c r="N151">
        <v>117</v>
      </c>
      <c r="O151" s="3">
        <f t="shared" si="81"/>
        <v>40.745732255166217</v>
      </c>
      <c r="P151" s="3">
        <f t="shared" si="82"/>
        <v>5.2560646900269541</v>
      </c>
      <c r="Q151">
        <v>893</v>
      </c>
      <c r="R151">
        <v>117</v>
      </c>
      <c r="S151">
        <v>787</v>
      </c>
      <c r="T151" s="1">
        <f t="shared" si="83"/>
        <v>904</v>
      </c>
      <c r="U151" s="3">
        <f t="shared" si="84"/>
        <v>12.942477876106194</v>
      </c>
      <c r="V151">
        <v>27</v>
      </c>
      <c r="W151" s="3">
        <f t="shared" si="85"/>
        <v>2.9867256637168142</v>
      </c>
      <c r="X151">
        <v>877</v>
      </c>
      <c r="Y151">
        <v>0</v>
      </c>
      <c r="Z151">
        <v>0</v>
      </c>
      <c r="AA151">
        <v>255</v>
      </c>
      <c r="AB151" s="3">
        <f t="shared" si="86"/>
        <v>28.207964601769913</v>
      </c>
      <c r="AC151">
        <v>21</v>
      </c>
      <c r="AD151" s="3">
        <f t="shared" si="87"/>
        <v>2.3230088495575223</v>
      </c>
      <c r="AE151">
        <v>54</v>
      </c>
      <c r="AF151" s="3">
        <f t="shared" si="88"/>
        <v>5.9734513274336285</v>
      </c>
      <c r="AG151">
        <v>69</v>
      </c>
      <c r="AH151" s="3">
        <f t="shared" si="89"/>
        <v>7.6327433628318584</v>
      </c>
      <c r="AI151">
        <v>284</v>
      </c>
      <c r="AJ151" s="3">
        <f t="shared" si="90"/>
        <v>31.415929203539822</v>
      </c>
      <c r="AK151">
        <v>78</v>
      </c>
      <c r="AL151" s="3">
        <f t="shared" si="91"/>
        <v>8.6283185840707972</v>
      </c>
      <c r="AM151">
        <v>37</v>
      </c>
      <c r="AN151" s="3">
        <f t="shared" si="92"/>
        <v>4.0929203539823007</v>
      </c>
      <c r="AO151">
        <v>5</v>
      </c>
      <c r="AP151" s="3">
        <f t="shared" si="93"/>
        <v>0.55309734513274333</v>
      </c>
      <c r="AQ151">
        <v>18</v>
      </c>
      <c r="AR151" s="3">
        <f t="shared" si="94"/>
        <v>1.9911504424778761</v>
      </c>
      <c r="AS151">
        <v>15</v>
      </c>
      <c r="AT151" s="3">
        <f t="shared" si="95"/>
        <v>1.6592920353982301</v>
      </c>
      <c r="AU151">
        <v>0</v>
      </c>
      <c r="AV151" s="3">
        <f t="shared" si="96"/>
        <v>0</v>
      </c>
      <c r="AW151">
        <v>9</v>
      </c>
      <c r="AX151" s="3">
        <f t="shared" si="97"/>
        <v>0.99557522123893805</v>
      </c>
      <c r="AY151">
        <v>9</v>
      </c>
      <c r="AZ151" s="3">
        <f t="shared" si="98"/>
        <v>0.99557522123893805</v>
      </c>
      <c r="BA151">
        <v>23</v>
      </c>
      <c r="BB151" s="3">
        <f t="shared" si="99"/>
        <v>2.5442477876106193</v>
      </c>
      <c r="BC151" t="s">
        <v>315</v>
      </c>
      <c r="BD151" s="72">
        <v>2017</v>
      </c>
      <c r="BE151" s="1"/>
      <c r="BF151"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47.629370629370669</v>
      </c>
      <c r="BG151" s="10">
        <f>2*(Дума_партии[[#This Row],[5. Всероссийская политическая партия "ЕДИНАЯ РОССИЯ"]]-(AB$203/100)*Дума_партии[[#This Row],[Число действительных избирательных бюллетеней]])</f>
        <v>68.11000000000007</v>
      </c>
      <c r="BH151" s="10">
        <f>(Дума_партии[[#This Row],[Вброс]]+Дума_партии[[#This Row],[Перекладывание]])/2</f>
        <v>57.86968531468537</v>
      </c>
    </row>
    <row r="152" spans="1:60" x14ac:dyDescent="0.4">
      <c r="A152" t="s">
        <v>49</v>
      </c>
      <c r="B152" t="s">
        <v>50</v>
      </c>
      <c r="C152" t="s">
        <v>51</v>
      </c>
      <c r="D152" t="s">
        <v>227</v>
      </c>
      <c r="E152" t="s">
        <v>280</v>
      </c>
      <c r="F152" s="8">
        <f t="shared" ca="1" si="80"/>
        <v>2026</v>
      </c>
      <c r="G152" s="1" t="s">
        <v>349</v>
      </c>
      <c r="H152" s="1" t="str">
        <f>LEFT(Дума_партии[[#This Row],[tik]],4)&amp;"."&amp;IF(ISNUMBER(VALUE(RIGHT(Дума_партии[[#This Row],[tik]]))),RIGHT(Дума_партии[[#This Row],[tik]]),"")</f>
        <v>Один.2</v>
      </c>
      <c r="I152">
        <v>2642</v>
      </c>
      <c r="J152" s="8">
        <f>Дума_партии[[#This Row],[Число избирателей, внесенных в список избирателей на момент окончания голосования]]</f>
        <v>2642</v>
      </c>
      <c r="K152">
        <v>2000</v>
      </c>
      <c r="L152">
        <v>0</v>
      </c>
      <c r="M152">
        <v>717</v>
      </c>
      <c r="N152">
        <v>22</v>
      </c>
      <c r="O152" s="3">
        <f t="shared" si="81"/>
        <v>27.971233913701742</v>
      </c>
      <c r="P152" s="3">
        <f t="shared" si="82"/>
        <v>0.8327024981074943</v>
      </c>
      <c r="Q152">
        <v>1261</v>
      </c>
      <c r="R152">
        <v>22</v>
      </c>
      <c r="S152">
        <v>717</v>
      </c>
      <c r="T152" s="1">
        <f t="shared" si="83"/>
        <v>739</v>
      </c>
      <c r="U152" s="3">
        <f t="shared" si="84"/>
        <v>2.976995940460081</v>
      </c>
      <c r="V152">
        <v>12</v>
      </c>
      <c r="W152" s="3">
        <f t="shared" si="85"/>
        <v>1.6238159675236807</v>
      </c>
      <c r="X152">
        <v>727</v>
      </c>
      <c r="Y152">
        <v>0</v>
      </c>
      <c r="Z152">
        <v>0</v>
      </c>
      <c r="AA152">
        <v>203</v>
      </c>
      <c r="AB152" s="3">
        <f t="shared" si="86"/>
        <v>27.469553450608931</v>
      </c>
      <c r="AC152">
        <v>13</v>
      </c>
      <c r="AD152" s="3">
        <f t="shared" si="87"/>
        <v>1.7591339648173208</v>
      </c>
      <c r="AE152">
        <v>53</v>
      </c>
      <c r="AF152" s="3">
        <f t="shared" si="88"/>
        <v>7.1718538565629233</v>
      </c>
      <c r="AG152">
        <v>73</v>
      </c>
      <c r="AH152" s="3">
        <f t="shared" si="89"/>
        <v>9.8782138024357238</v>
      </c>
      <c r="AI152">
        <v>216</v>
      </c>
      <c r="AJ152" s="3">
        <f t="shared" si="90"/>
        <v>29.228687415426251</v>
      </c>
      <c r="AK152">
        <v>61</v>
      </c>
      <c r="AL152" s="3">
        <f t="shared" si="91"/>
        <v>8.2543978349120426</v>
      </c>
      <c r="AM152">
        <v>30</v>
      </c>
      <c r="AN152" s="3">
        <f t="shared" si="92"/>
        <v>4.0595399188092021</v>
      </c>
      <c r="AO152">
        <v>4</v>
      </c>
      <c r="AP152" s="3">
        <f t="shared" si="93"/>
        <v>0.54127198917456021</v>
      </c>
      <c r="AQ152">
        <v>12</v>
      </c>
      <c r="AR152" s="3">
        <f t="shared" si="94"/>
        <v>1.6238159675236807</v>
      </c>
      <c r="AS152">
        <v>16</v>
      </c>
      <c r="AT152" s="3">
        <f t="shared" si="95"/>
        <v>2.1650879566982408</v>
      </c>
      <c r="AU152">
        <v>4</v>
      </c>
      <c r="AV152" s="3">
        <f t="shared" si="96"/>
        <v>0.54127198917456021</v>
      </c>
      <c r="AW152">
        <v>5</v>
      </c>
      <c r="AX152" s="3">
        <f t="shared" si="97"/>
        <v>0.67658998646820023</v>
      </c>
      <c r="AY152">
        <v>8</v>
      </c>
      <c r="AZ152" s="3">
        <f t="shared" si="98"/>
        <v>1.0825439783491204</v>
      </c>
      <c r="BA152">
        <v>29</v>
      </c>
      <c r="BB152" s="3">
        <f t="shared" si="99"/>
        <v>3.9242219215155614</v>
      </c>
      <c r="BC152" t="s">
        <v>315</v>
      </c>
      <c r="BD152" s="72">
        <v>2017</v>
      </c>
      <c r="BE152" s="1">
        <v>1</v>
      </c>
      <c r="BF152"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12.314685314685335</v>
      </c>
      <c r="BG152" s="10">
        <f>2*(Дума_партии[[#This Row],[5. Всероссийская политическая партия "ЕДИНАЯ РОССИЯ"]]-(AB$203/100)*Дума_партии[[#This Row],[Число действительных избирательных бюллетеней]])</f>
        <v>17.610000000000014</v>
      </c>
      <c r="BH152" s="10">
        <f>(Дума_партии[[#This Row],[Вброс]]+Дума_партии[[#This Row],[Перекладывание]])/2</f>
        <v>14.962342657342674</v>
      </c>
    </row>
    <row r="153" spans="1:60" x14ac:dyDescent="0.4">
      <c r="A153" t="s">
        <v>49</v>
      </c>
      <c r="B153" t="s">
        <v>50</v>
      </c>
      <c r="C153" t="s">
        <v>51</v>
      </c>
      <c r="D153" t="s">
        <v>227</v>
      </c>
      <c r="E153" t="s">
        <v>281</v>
      </c>
      <c r="F153" s="8">
        <f t="shared" ca="1" si="80"/>
        <v>2027</v>
      </c>
      <c r="G153" s="1" t="s">
        <v>349</v>
      </c>
      <c r="H153" s="1" t="str">
        <f>LEFT(Дума_партии[[#This Row],[tik]],4)&amp;"."&amp;IF(ISNUMBER(VALUE(RIGHT(Дума_партии[[#This Row],[tik]]))),RIGHT(Дума_партии[[#This Row],[tik]]),"")</f>
        <v>Один.2</v>
      </c>
      <c r="I153">
        <v>1817</v>
      </c>
      <c r="J153" s="8">
        <f>Дума_партии[[#This Row],[Число избирателей, внесенных в список избирателей на момент окончания голосования]]</f>
        <v>1817</v>
      </c>
      <c r="K153">
        <v>1500</v>
      </c>
      <c r="L153">
        <v>0</v>
      </c>
      <c r="M153">
        <v>520</v>
      </c>
      <c r="N153">
        <v>0</v>
      </c>
      <c r="O153" s="3">
        <f t="shared" si="81"/>
        <v>28.618602091359385</v>
      </c>
      <c r="P153" s="3">
        <f t="shared" si="82"/>
        <v>0</v>
      </c>
      <c r="Q153">
        <v>977</v>
      </c>
      <c r="R153">
        <v>0</v>
      </c>
      <c r="S153">
        <v>520</v>
      </c>
      <c r="T153" s="1">
        <f t="shared" si="83"/>
        <v>520</v>
      </c>
      <c r="U153" s="3">
        <f t="shared" si="84"/>
        <v>0</v>
      </c>
      <c r="V153">
        <v>13</v>
      </c>
      <c r="W153" s="3">
        <f t="shared" si="85"/>
        <v>2.5</v>
      </c>
      <c r="X153">
        <v>507</v>
      </c>
      <c r="Y153">
        <v>3</v>
      </c>
      <c r="Z153">
        <v>0</v>
      </c>
      <c r="AA153">
        <v>167</v>
      </c>
      <c r="AB153" s="3">
        <f t="shared" si="86"/>
        <v>32.115384615384613</v>
      </c>
      <c r="AC153">
        <v>10</v>
      </c>
      <c r="AD153" s="3">
        <f t="shared" si="87"/>
        <v>1.9230769230769231</v>
      </c>
      <c r="AE153">
        <v>37</v>
      </c>
      <c r="AF153" s="3">
        <f t="shared" si="88"/>
        <v>7.115384615384615</v>
      </c>
      <c r="AG153">
        <v>49</v>
      </c>
      <c r="AH153" s="3">
        <f t="shared" si="89"/>
        <v>9.4230769230769234</v>
      </c>
      <c r="AI153">
        <v>123</v>
      </c>
      <c r="AJ153" s="3">
        <f t="shared" si="90"/>
        <v>23.653846153846153</v>
      </c>
      <c r="AK153">
        <v>45</v>
      </c>
      <c r="AL153" s="3">
        <f t="shared" si="91"/>
        <v>8.6538461538461533</v>
      </c>
      <c r="AM153">
        <v>27</v>
      </c>
      <c r="AN153" s="3">
        <f t="shared" si="92"/>
        <v>5.1923076923076925</v>
      </c>
      <c r="AO153">
        <v>8</v>
      </c>
      <c r="AP153" s="3">
        <f t="shared" si="93"/>
        <v>1.5384615384615385</v>
      </c>
      <c r="AQ153">
        <v>6</v>
      </c>
      <c r="AR153" s="3">
        <f t="shared" si="94"/>
        <v>1.1538461538461537</v>
      </c>
      <c r="AS153">
        <v>11</v>
      </c>
      <c r="AT153" s="3">
        <f t="shared" si="95"/>
        <v>2.1153846153846154</v>
      </c>
      <c r="AU153">
        <v>0</v>
      </c>
      <c r="AV153" s="3">
        <f t="shared" si="96"/>
        <v>0</v>
      </c>
      <c r="AW153">
        <v>7</v>
      </c>
      <c r="AX153" s="3">
        <f t="shared" si="97"/>
        <v>1.3461538461538463</v>
      </c>
      <c r="AY153">
        <v>10</v>
      </c>
      <c r="AZ153" s="3">
        <f t="shared" si="98"/>
        <v>1.9230769230769231</v>
      </c>
      <c r="BA153">
        <v>7</v>
      </c>
      <c r="BB153" s="3">
        <f t="shared" si="99"/>
        <v>1.3461538461538463</v>
      </c>
      <c r="BC153" t="s">
        <v>315</v>
      </c>
      <c r="BD153" s="72">
        <v>2017</v>
      </c>
      <c r="BE153" s="1">
        <v>1</v>
      </c>
      <c r="BF153"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-30.062937062937038</v>
      </c>
      <c r="BG153" s="10">
        <f>2*(Дума_партии[[#This Row],[5. Всероссийская политическая партия "ЕДИНАЯ РОССИЯ"]]-(AB$203/100)*Дума_партии[[#This Row],[Число действительных избирательных бюллетеней]])</f>
        <v>-42.989999999999952</v>
      </c>
      <c r="BH153" s="10">
        <f>(Дума_партии[[#This Row],[Вброс]]+Дума_партии[[#This Row],[Перекладывание]])/2</f>
        <v>-36.526468531468495</v>
      </c>
    </row>
    <row r="154" spans="1:60" x14ac:dyDescent="0.4">
      <c r="A154" t="s">
        <v>49</v>
      </c>
      <c r="B154" t="s">
        <v>50</v>
      </c>
      <c r="C154" t="s">
        <v>51</v>
      </c>
      <c r="D154" t="s">
        <v>227</v>
      </c>
      <c r="E154" t="s">
        <v>282</v>
      </c>
      <c r="F154" s="8">
        <f t="shared" ca="1" si="80"/>
        <v>2028</v>
      </c>
      <c r="G154" s="1" t="s">
        <v>349</v>
      </c>
      <c r="H154" s="1" t="str">
        <f>LEFT(Дума_партии[[#This Row],[tik]],4)&amp;"."&amp;IF(ISNUMBER(VALUE(RIGHT(Дума_партии[[#This Row],[tik]]))),RIGHT(Дума_партии[[#This Row],[tik]]),"")</f>
        <v>Один.2</v>
      </c>
      <c r="I154">
        <v>1939</v>
      </c>
      <c r="J154" s="8">
        <f>Дума_партии[[#This Row],[Число избирателей, внесенных в список избирателей на момент окончания голосования]]</f>
        <v>1939</v>
      </c>
      <c r="K154">
        <v>1500</v>
      </c>
      <c r="L154">
        <v>0</v>
      </c>
      <c r="M154">
        <v>626</v>
      </c>
      <c r="N154">
        <v>1</v>
      </c>
      <c r="O154" s="3">
        <f t="shared" si="81"/>
        <v>32.336255801959773</v>
      </c>
      <c r="P154" s="3">
        <f t="shared" si="82"/>
        <v>5.1572975760701391E-2</v>
      </c>
      <c r="Q154">
        <v>873</v>
      </c>
      <c r="R154">
        <v>1</v>
      </c>
      <c r="S154">
        <v>626</v>
      </c>
      <c r="T154" s="1">
        <f t="shared" si="83"/>
        <v>627</v>
      </c>
      <c r="U154" s="3">
        <f t="shared" si="84"/>
        <v>0.15948963317384371</v>
      </c>
      <c r="V154">
        <v>9</v>
      </c>
      <c r="W154" s="3">
        <f t="shared" si="85"/>
        <v>1.4354066985645932</v>
      </c>
      <c r="X154">
        <v>618</v>
      </c>
      <c r="Y154">
        <v>0</v>
      </c>
      <c r="Z154">
        <v>0</v>
      </c>
      <c r="AA154">
        <v>208</v>
      </c>
      <c r="AB154" s="3">
        <f t="shared" si="86"/>
        <v>33.173843700159487</v>
      </c>
      <c r="AC154">
        <v>13</v>
      </c>
      <c r="AD154" s="3">
        <f t="shared" si="87"/>
        <v>2.073365231259968</v>
      </c>
      <c r="AE154">
        <v>39</v>
      </c>
      <c r="AF154" s="3">
        <f t="shared" si="88"/>
        <v>6.2200956937799043</v>
      </c>
      <c r="AG154">
        <v>52</v>
      </c>
      <c r="AH154" s="3">
        <f t="shared" si="89"/>
        <v>8.2934609250398719</v>
      </c>
      <c r="AI154">
        <v>158</v>
      </c>
      <c r="AJ154" s="3">
        <f t="shared" si="90"/>
        <v>25.199362041467303</v>
      </c>
      <c r="AK154">
        <v>40</v>
      </c>
      <c r="AL154" s="3">
        <f t="shared" si="91"/>
        <v>6.3795853269537481</v>
      </c>
      <c r="AM154">
        <v>33</v>
      </c>
      <c r="AN154" s="3">
        <f t="shared" si="92"/>
        <v>5.2631578947368425</v>
      </c>
      <c r="AO154">
        <v>12</v>
      </c>
      <c r="AP154" s="3">
        <f t="shared" si="93"/>
        <v>1.9138755980861244</v>
      </c>
      <c r="AQ154">
        <v>13</v>
      </c>
      <c r="AR154" s="3">
        <f t="shared" si="94"/>
        <v>2.073365231259968</v>
      </c>
      <c r="AS154">
        <v>12</v>
      </c>
      <c r="AT154" s="3">
        <f t="shared" si="95"/>
        <v>1.9138755980861244</v>
      </c>
      <c r="AU154">
        <v>3</v>
      </c>
      <c r="AV154" s="3">
        <f t="shared" si="96"/>
        <v>0.4784688995215311</v>
      </c>
      <c r="AW154">
        <v>13</v>
      </c>
      <c r="AX154" s="3">
        <f t="shared" si="97"/>
        <v>2.073365231259968</v>
      </c>
      <c r="AY154">
        <v>11</v>
      </c>
      <c r="AZ154" s="3">
        <f t="shared" si="98"/>
        <v>1.7543859649122806</v>
      </c>
      <c r="BA154">
        <v>11</v>
      </c>
      <c r="BB154" s="3">
        <f t="shared" si="99"/>
        <v>1.7543859649122806</v>
      </c>
      <c r="BC154" t="s">
        <v>315</v>
      </c>
      <c r="BD154" s="72">
        <v>2017</v>
      </c>
      <c r="BE154" s="1"/>
      <c r="BF154"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-25.356643356643332</v>
      </c>
      <c r="BG154" s="10">
        <f>2*(Дума_партии[[#This Row],[5. Всероссийская политическая партия "ЕДИНАЯ РОССИЯ"]]-(AB$203/100)*Дума_партии[[#This Row],[Число действительных избирательных бюллетеней]])</f>
        <v>-36.259999999999991</v>
      </c>
      <c r="BH154" s="10">
        <f>(Дума_партии[[#This Row],[Вброс]]+Дума_партии[[#This Row],[Перекладывание]])/2</f>
        <v>-30.808321678321661</v>
      </c>
    </row>
    <row r="155" spans="1:60" x14ac:dyDescent="0.4">
      <c r="A155" t="s">
        <v>49</v>
      </c>
      <c r="B155" t="s">
        <v>50</v>
      </c>
      <c r="C155" t="s">
        <v>51</v>
      </c>
      <c r="D155" t="s">
        <v>227</v>
      </c>
      <c r="E155" t="s">
        <v>283</v>
      </c>
      <c r="F155" s="8">
        <f t="shared" ca="1" si="80"/>
        <v>2029</v>
      </c>
      <c r="G155" s="1" t="s">
        <v>349</v>
      </c>
      <c r="H155" s="1" t="str">
        <f>LEFT(Дума_партии[[#This Row],[tik]],4)&amp;"."&amp;IF(ISNUMBER(VALUE(RIGHT(Дума_партии[[#This Row],[tik]]))),RIGHT(Дума_партии[[#This Row],[tik]]),"")</f>
        <v>Один.2</v>
      </c>
      <c r="I155">
        <v>2070</v>
      </c>
      <c r="J155" s="8">
        <f>Дума_партии[[#This Row],[Число избирателей, внесенных в список избирателей на момент окончания голосования]]</f>
        <v>2070</v>
      </c>
      <c r="K155">
        <v>1800</v>
      </c>
      <c r="L155">
        <v>0</v>
      </c>
      <c r="M155">
        <v>500</v>
      </c>
      <c r="N155">
        <v>6</v>
      </c>
      <c r="O155" s="3">
        <f t="shared" si="81"/>
        <v>24.444444444444443</v>
      </c>
      <c r="P155" s="3">
        <f t="shared" si="82"/>
        <v>0.28985507246376813</v>
      </c>
      <c r="Q155">
        <v>1294</v>
      </c>
      <c r="R155">
        <v>6</v>
      </c>
      <c r="S155">
        <v>500</v>
      </c>
      <c r="T155" s="1">
        <f t="shared" si="83"/>
        <v>506</v>
      </c>
      <c r="U155" s="3">
        <f t="shared" si="84"/>
        <v>1.1857707509881423</v>
      </c>
      <c r="V155">
        <v>13</v>
      </c>
      <c r="W155" s="3">
        <f t="shared" si="85"/>
        <v>2.5691699604743081</v>
      </c>
      <c r="X155">
        <v>493</v>
      </c>
      <c r="Y155">
        <v>0</v>
      </c>
      <c r="Z155">
        <v>0</v>
      </c>
      <c r="AA155">
        <v>152</v>
      </c>
      <c r="AB155" s="3">
        <f t="shared" si="86"/>
        <v>30.039525691699605</v>
      </c>
      <c r="AC155">
        <v>8</v>
      </c>
      <c r="AD155" s="3">
        <f t="shared" si="87"/>
        <v>1.5810276679841897</v>
      </c>
      <c r="AE155">
        <v>46</v>
      </c>
      <c r="AF155" s="3">
        <f t="shared" si="88"/>
        <v>9.0909090909090917</v>
      </c>
      <c r="AG155">
        <v>50</v>
      </c>
      <c r="AH155" s="3">
        <f t="shared" si="89"/>
        <v>9.8814229249011856</v>
      </c>
      <c r="AI155">
        <v>122</v>
      </c>
      <c r="AJ155" s="3">
        <f t="shared" si="90"/>
        <v>24.110671936758894</v>
      </c>
      <c r="AK155">
        <v>49</v>
      </c>
      <c r="AL155" s="3">
        <f t="shared" si="91"/>
        <v>9.6837944664031621</v>
      </c>
      <c r="AM155">
        <v>9</v>
      </c>
      <c r="AN155" s="3">
        <f t="shared" si="92"/>
        <v>1.7786561264822134</v>
      </c>
      <c r="AO155">
        <v>8</v>
      </c>
      <c r="AP155" s="3">
        <f t="shared" si="93"/>
        <v>1.5810276679841897</v>
      </c>
      <c r="AQ155">
        <v>5</v>
      </c>
      <c r="AR155" s="3">
        <f t="shared" si="94"/>
        <v>0.98814229249011853</v>
      </c>
      <c r="AS155">
        <v>10</v>
      </c>
      <c r="AT155" s="3">
        <f t="shared" si="95"/>
        <v>1.9762845849802371</v>
      </c>
      <c r="AU155">
        <v>3</v>
      </c>
      <c r="AV155" s="3">
        <f t="shared" si="96"/>
        <v>0.59288537549407117</v>
      </c>
      <c r="AW155">
        <v>8</v>
      </c>
      <c r="AX155" s="3">
        <f t="shared" si="97"/>
        <v>1.5810276679841897</v>
      </c>
      <c r="AY155">
        <v>5</v>
      </c>
      <c r="AZ155" s="3">
        <f t="shared" si="98"/>
        <v>0.98814229249011853</v>
      </c>
      <c r="BA155">
        <v>18</v>
      </c>
      <c r="BB155" s="3">
        <f t="shared" si="99"/>
        <v>3.5573122529644268</v>
      </c>
      <c r="BC155" t="s">
        <v>315</v>
      </c>
      <c r="BD155" t="s">
        <v>455</v>
      </c>
      <c r="BE155" s="1"/>
      <c r="BF155"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-25.881118881118852</v>
      </c>
      <c r="BG155" s="10">
        <f>2*(Дума_партии[[#This Row],[5. Всероссийская политическая партия "ЕДИНАЯ РОССИЯ"]]-(AB$203/100)*Дума_партии[[#This Row],[Число действительных избирательных бюллетеней]])</f>
        <v>-37.009999999999991</v>
      </c>
      <c r="BH155" s="10">
        <f>(Дума_партии[[#This Row],[Вброс]]+Дума_партии[[#This Row],[Перекладывание]])/2</f>
        <v>-31.445559440559421</v>
      </c>
    </row>
    <row r="156" spans="1:60" x14ac:dyDescent="0.4">
      <c r="A156" t="s">
        <v>49</v>
      </c>
      <c r="B156" t="s">
        <v>50</v>
      </c>
      <c r="C156" t="s">
        <v>51</v>
      </c>
      <c r="D156" t="s">
        <v>227</v>
      </c>
      <c r="E156" t="s">
        <v>284</v>
      </c>
      <c r="F156" s="8">
        <f t="shared" ca="1" si="80"/>
        <v>2030</v>
      </c>
      <c r="G156" s="1" t="s">
        <v>349</v>
      </c>
      <c r="H156" s="1" t="str">
        <f>LEFT(Дума_партии[[#This Row],[tik]],4)&amp;"."&amp;IF(ISNUMBER(VALUE(RIGHT(Дума_партии[[#This Row],[tik]]))),RIGHT(Дума_партии[[#This Row],[tik]]),"")</f>
        <v>Один.2</v>
      </c>
      <c r="I156">
        <v>2285</v>
      </c>
      <c r="J156" s="8">
        <f>Дума_партии[[#This Row],[Число избирателей, внесенных в список избирателей на момент окончания голосования]]</f>
        <v>2285</v>
      </c>
      <c r="K156">
        <v>1800</v>
      </c>
      <c r="L156">
        <v>0</v>
      </c>
      <c r="M156">
        <v>655</v>
      </c>
      <c r="N156">
        <v>3</v>
      </c>
      <c r="O156" s="3">
        <f t="shared" si="81"/>
        <v>28.796498905908095</v>
      </c>
      <c r="P156" s="3">
        <f t="shared" si="82"/>
        <v>0.13129102844638948</v>
      </c>
      <c r="Q156">
        <v>1142</v>
      </c>
      <c r="R156">
        <v>3</v>
      </c>
      <c r="S156">
        <v>655</v>
      </c>
      <c r="T156" s="1">
        <f t="shared" si="83"/>
        <v>658</v>
      </c>
      <c r="U156" s="3">
        <f t="shared" si="84"/>
        <v>0.45592705167173253</v>
      </c>
      <c r="V156">
        <v>12</v>
      </c>
      <c r="W156" s="3">
        <f t="shared" si="85"/>
        <v>1.8237082066869301</v>
      </c>
      <c r="X156">
        <v>646</v>
      </c>
      <c r="Y156">
        <v>0</v>
      </c>
      <c r="Z156">
        <v>0</v>
      </c>
      <c r="AA156">
        <v>202</v>
      </c>
      <c r="AB156" s="3">
        <f t="shared" si="86"/>
        <v>30.699088145896656</v>
      </c>
      <c r="AC156">
        <v>13</v>
      </c>
      <c r="AD156" s="3">
        <f t="shared" si="87"/>
        <v>1.9756838905775076</v>
      </c>
      <c r="AE156">
        <v>52</v>
      </c>
      <c r="AF156" s="3">
        <f t="shared" si="88"/>
        <v>7.9027355623100304</v>
      </c>
      <c r="AG156">
        <v>82</v>
      </c>
      <c r="AH156" s="3">
        <f t="shared" si="89"/>
        <v>12.462006079027356</v>
      </c>
      <c r="AI156">
        <v>145</v>
      </c>
      <c r="AJ156" s="3">
        <f t="shared" si="90"/>
        <v>22.03647416413374</v>
      </c>
      <c r="AK156">
        <v>49</v>
      </c>
      <c r="AL156" s="3">
        <f t="shared" si="91"/>
        <v>7.4468085106382977</v>
      </c>
      <c r="AM156">
        <v>35</v>
      </c>
      <c r="AN156" s="3">
        <f t="shared" si="92"/>
        <v>5.3191489361702127</v>
      </c>
      <c r="AO156">
        <v>7</v>
      </c>
      <c r="AP156" s="3">
        <f t="shared" si="93"/>
        <v>1.0638297872340425</v>
      </c>
      <c r="AQ156">
        <v>16</v>
      </c>
      <c r="AR156" s="3">
        <f t="shared" si="94"/>
        <v>2.43161094224924</v>
      </c>
      <c r="AS156">
        <v>11</v>
      </c>
      <c r="AT156" s="3">
        <f t="shared" si="95"/>
        <v>1.6717325227963526</v>
      </c>
      <c r="AU156">
        <v>3</v>
      </c>
      <c r="AV156" s="3">
        <f t="shared" si="96"/>
        <v>0.45592705167173253</v>
      </c>
      <c r="AW156">
        <v>7</v>
      </c>
      <c r="AX156" s="3">
        <f t="shared" si="97"/>
        <v>1.0638297872340425</v>
      </c>
      <c r="AY156">
        <v>7</v>
      </c>
      <c r="AZ156" s="3">
        <f t="shared" si="98"/>
        <v>1.0638297872340425</v>
      </c>
      <c r="BA156">
        <v>17</v>
      </c>
      <c r="BB156" s="3">
        <f t="shared" si="99"/>
        <v>2.5835866261398177</v>
      </c>
      <c r="BC156" t="s">
        <v>315</v>
      </c>
      <c r="BD156" s="72">
        <v>2017</v>
      </c>
      <c r="BE156" s="1"/>
      <c r="BF156"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-54.699300699300665</v>
      </c>
      <c r="BG156" s="10">
        <f>2*(Дума_партии[[#This Row],[5. Всероссийская политическая партия "ЕДИНАЯ РОССИЯ"]]-(AB$203/100)*Дума_партии[[#This Row],[Число действительных избирательных бюллетеней]])</f>
        <v>-78.21999999999997</v>
      </c>
      <c r="BH156" s="10">
        <f>(Дума_партии[[#This Row],[Вброс]]+Дума_партии[[#This Row],[Перекладывание]])/2</f>
        <v>-66.459650349650317</v>
      </c>
    </row>
    <row r="157" spans="1:60" x14ac:dyDescent="0.4">
      <c r="A157" t="s">
        <v>49</v>
      </c>
      <c r="B157" t="s">
        <v>50</v>
      </c>
      <c r="C157" t="s">
        <v>51</v>
      </c>
      <c r="D157" t="s">
        <v>227</v>
      </c>
      <c r="E157" t="s">
        <v>285</v>
      </c>
      <c r="F157" s="8">
        <f t="shared" ca="1" si="80"/>
        <v>2031</v>
      </c>
      <c r="G157" s="1" t="s">
        <v>349</v>
      </c>
      <c r="H157" s="1" t="str">
        <f>LEFT(Дума_партии[[#This Row],[tik]],4)&amp;"."&amp;IF(ISNUMBER(VALUE(RIGHT(Дума_партии[[#This Row],[tik]]))),RIGHT(Дума_партии[[#This Row],[tik]]),"")</f>
        <v>Один.2</v>
      </c>
      <c r="I157">
        <v>2551</v>
      </c>
      <c r="J157" s="8">
        <f>Дума_партии[[#This Row],[Число избирателей, внесенных в список избирателей на момент окончания голосования]]</f>
        <v>2551</v>
      </c>
      <c r="K157">
        <v>2000</v>
      </c>
      <c r="L157">
        <v>0</v>
      </c>
      <c r="M157">
        <v>721</v>
      </c>
      <c r="N157">
        <v>4</v>
      </c>
      <c r="O157" s="3">
        <f t="shared" si="81"/>
        <v>28.420227361818895</v>
      </c>
      <c r="P157" s="3">
        <f t="shared" si="82"/>
        <v>0.15680125441003528</v>
      </c>
      <c r="Q157">
        <v>1275</v>
      </c>
      <c r="R157">
        <v>4</v>
      </c>
      <c r="S157">
        <v>721</v>
      </c>
      <c r="T157" s="1">
        <f t="shared" si="83"/>
        <v>725</v>
      </c>
      <c r="U157" s="3">
        <f t="shared" si="84"/>
        <v>0.55172413793103448</v>
      </c>
      <c r="V157">
        <v>17</v>
      </c>
      <c r="W157" s="3">
        <f t="shared" si="85"/>
        <v>2.3448275862068964</v>
      </c>
      <c r="X157">
        <v>708</v>
      </c>
      <c r="Y157">
        <v>0</v>
      </c>
      <c r="Z157">
        <v>0</v>
      </c>
      <c r="AA157">
        <v>245</v>
      </c>
      <c r="AB157" s="3">
        <f t="shared" si="86"/>
        <v>33.793103448275865</v>
      </c>
      <c r="AC157">
        <v>18</v>
      </c>
      <c r="AD157" s="3">
        <f t="shared" si="87"/>
        <v>2.4827586206896552</v>
      </c>
      <c r="AE157">
        <v>48</v>
      </c>
      <c r="AF157" s="3">
        <f t="shared" si="88"/>
        <v>6.6206896551724137</v>
      </c>
      <c r="AG157">
        <v>77</v>
      </c>
      <c r="AH157" s="3">
        <f t="shared" si="89"/>
        <v>10.620689655172415</v>
      </c>
      <c r="AI157">
        <v>154</v>
      </c>
      <c r="AJ157" s="3">
        <f t="shared" si="90"/>
        <v>21.241379310344829</v>
      </c>
      <c r="AK157">
        <v>59</v>
      </c>
      <c r="AL157" s="3">
        <f t="shared" si="91"/>
        <v>8.137931034482758</v>
      </c>
      <c r="AM157">
        <v>40</v>
      </c>
      <c r="AN157" s="3">
        <f t="shared" si="92"/>
        <v>5.5172413793103452</v>
      </c>
      <c r="AO157">
        <v>16</v>
      </c>
      <c r="AP157" s="3">
        <f t="shared" si="93"/>
        <v>2.2068965517241379</v>
      </c>
      <c r="AQ157">
        <v>10</v>
      </c>
      <c r="AR157" s="3">
        <f t="shared" si="94"/>
        <v>1.3793103448275863</v>
      </c>
      <c r="AS157">
        <v>14</v>
      </c>
      <c r="AT157" s="3">
        <f t="shared" si="95"/>
        <v>1.9310344827586208</v>
      </c>
      <c r="AU157">
        <v>3</v>
      </c>
      <c r="AV157" s="3">
        <f t="shared" si="96"/>
        <v>0.41379310344827586</v>
      </c>
      <c r="AW157">
        <v>3</v>
      </c>
      <c r="AX157" s="3">
        <f t="shared" si="97"/>
        <v>0.41379310344827586</v>
      </c>
      <c r="AY157">
        <v>6</v>
      </c>
      <c r="AZ157" s="3">
        <f t="shared" si="98"/>
        <v>0.82758620689655171</v>
      </c>
      <c r="BA157">
        <v>15</v>
      </c>
      <c r="BB157" s="3">
        <f t="shared" si="99"/>
        <v>2.0689655172413794</v>
      </c>
      <c r="BC157" t="s">
        <v>315</v>
      </c>
      <c r="BD157" s="72">
        <v>2017</v>
      </c>
      <c r="BE157" s="1">
        <v>1</v>
      </c>
      <c r="BF157"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-66.825174825174798</v>
      </c>
      <c r="BG157" s="10">
        <f>2*(Дума_партии[[#This Row],[5. Всероссийская политическая партия "ЕДИНАЯ РОССИЯ"]]-(AB$203/100)*Дума_партии[[#This Row],[Число действительных избирательных бюллетеней]])</f>
        <v>-95.559999999999945</v>
      </c>
      <c r="BH157" s="10">
        <f>(Дума_партии[[#This Row],[Вброс]]+Дума_партии[[#This Row],[Перекладывание]])/2</f>
        <v>-81.192587412587372</v>
      </c>
    </row>
    <row r="158" spans="1:60" x14ac:dyDescent="0.4">
      <c r="A158" t="s">
        <v>49</v>
      </c>
      <c r="B158" t="s">
        <v>50</v>
      </c>
      <c r="C158" t="s">
        <v>51</v>
      </c>
      <c r="D158" t="s">
        <v>227</v>
      </c>
      <c r="E158" t="s">
        <v>286</v>
      </c>
      <c r="F158" s="8">
        <f t="shared" ca="1" si="80"/>
        <v>2032</v>
      </c>
      <c r="G158" s="1" t="s">
        <v>349</v>
      </c>
      <c r="H158" s="1" t="str">
        <f>LEFT(Дума_партии[[#This Row],[tik]],4)&amp;"."&amp;IF(ISNUMBER(VALUE(RIGHT(Дума_партии[[#This Row],[tik]]))),RIGHT(Дума_партии[[#This Row],[tik]]),"")</f>
        <v>Один.2</v>
      </c>
      <c r="I158">
        <v>2992</v>
      </c>
      <c r="J158" s="8">
        <f>Дума_партии[[#This Row],[Число избирателей, внесенных в список избирателей на момент окончания голосования]]</f>
        <v>2992</v>
      </c>
      <c r="K158">
        <v>2500</v>
      </c>
      <c r="L158">
        <v>0</v>
      </c>
      <c r="M158">
        <v>977</v>
      </c>
      <c r="N158">
        <v>11</v>
      </c>
      <c r="O158" s="3">
        <f t="shared" si="81"/>
        <v>33.021390374331553</v>
      </c>
      <c r="P158" s="3">
        <f t="shared" si="82"/>
        <v>0.36764705882352944</v>
      </c>
      <c r="Q158">
        <v>1512</v>
      </c>
      <c r="R158">
        <v>11</v>
      </c>
      <c r="S158">
        <v>977</v>
      </c>
      <c r="T158" s="1">
        <f t="shared" si="83"/>
        <v>988</v>
      </c>
      <c r="U158" s="3">
        <f t="shared" si="84"/>
        <v>1.1133603238866396</v>
      </c>
      <c r="V158">
        <v>399</v>
      </c>
      <c r="W158" s="3">
        <f t="shared" si="85"/>
        <v>40.384615384615387</v>
      </c>
      <c r="X158">
        <v>589</v>
      </c>
      <c r="Y158">
        <v>0</v>
      </c>
      <c r="Z158">
        <v>0</v>
      </c>
      <c r="AA158">
        <v>196</v>
      </c>
      <c r="AB158" s="3">
        <f t="shared" si="86"/>
        <v>19.838056680161944</v>
      </c>
      <c r="AC158">
        <v>10</v>
      </c>
      <c r="AD158" s="3">
        <f t="shared" si="87"/>
        <v>1.0121457489878543</v>
      </c>
      <c r="AE158">
        <v>50</v>
      </c>
      <c r="AF158" s="3">
        <f t="shared" si="88"/>
        <v>5.0607287449392713</v>
      </c>
      <c r="AG158">
        <v>52</v>
      </c>
      <c r="AH158" s="3">
        <f t="shared" si="89"/>
        <v>5.2631578947368425</v>
      </c>
      <c r="AI158">
        <v>156</v>
      </c>
      <c r="AJ158" s="3">
        <f t="shared" si="90"/>
        <v>15.789473684210526</v>
      </c>
      <c r="AK158">
        <v>49</v>
      </c>
      <c r="AL158" s="3">
        <f t="shared" si="91"/>
        <v>4.9595141700404861</v>
      </c>
      <c r="AM158">
        <v>15</v>
      </c>
      <c r="AN158" s="3">
        <f t="shared" si="92"/>
        <v>1.5182186234817814</v>
      </c>
      <c r="AO158">
        <v>3</v>
      </c>
      <c r="AP158" s="3">
        <f t="shared" si="93"/>
        <v>0.30364372469635625</v>
      </c>
      <c r="AQ158">
        <v>6</v>
      </c>
      <c r="AR158" s="3">
        <f t="shared" si="94"/>
        <v>0.60728744939271251</v>
      </c>
      <c r="AS158">
        <v>18</v>
      </c>
      <c r="AT158" s="3">
        <f t="shared" si="95"/>
        <v>1.8218623481781377</v>
      </c>
      <c r="AU158">
        <v>1</v>
      </c>
      <c r="AV158" s="3">
        <f t="shared" si="96"/>
        <v>0.10121457489878542</v>
      </c>
      <c r="AW158">
        <v>15</v>
      </c>
      <c r="AX158" s="3">
        <f t="shared" si="97"/>
        <v>1.5182186234817814</v>
      </c>
      <c r="AY158">
        <v>5</v>
      </c>
      <c r="AZ158" s="3">
        <f t="shared" si="98"/>
        <v>0.50607287449392713</v>
      </c>
      <c r="BA158">
        <v>13</v>
      </c>
      <c r="BB158" s="3">
        <f t="shared" si="99"/>
        <v>1.3157894736842106</v>
      </c>
      <c r="BC158" t="s">
        <v>315</v>
      </c>
      <c r="BD158" s="72">
        <v>2017</v>
      </c>
      <c r="BE158" s="1"/>
      <c r="BF158"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-16.594405594405572</v>
      </c>
      <c r="BG158" s="10">
        <f>2*(Дума_партии[[#This Row],[5. Всероссийская политическая партия "ЕДИНАЯ РОССИЯ"]]-(AB$203/100)*Дума_партии[[#This Row],[Число действительных избирательных бюллетеней]])</f>
        <v>-23.729999999999961</v>
      </c>
      <c r="BH158" s="10">
        <f>(Дума_партии[[#This Row],[Вброс]]+Дума_партии[[#This Row],[Перекладывание]])/2</f>
        <v>-20.162202797202767</v>
      </c>
    </row>
    <row r="159" spans="1:60" x14ac:dyDescent="0.4">
      <c r="A159" t="s">
        <v>49</v>
      </c>
      <c r="B159" t="s">
        <v>50</v>
      </c>
      <c r="C159" t="s">
        <v>51</v>
      </c>
      <c r="D159" t="s">
        <v>227</v>
      </c>
      <c r="E159" t="s">
        <v>287</v>
      </c>
      <c r="F159" s="8">
        <f t="shared" ca="1" si="80"/>
        <v>2033</v>
      </c>
      <c r="G159" t="s">
        <v>355</v>
      </c>
      <c r="H159" s="1" t="str">
        <f>LEFT(Дума_партии[[#This Row],[tik]],4)&amp;"."&amp;IF(ISNUMBER(VALUE(RIGHT(Дума_партии[[#This Row],[tik]]))),RIGHT(Дума_партии[[#This Row],[tik]]),"")</f>
        <v>Один.2</v>
      </c>
      <c r="I159">
        <v>752</v>
      </c>
      <c r="J159" s="8">
        <f>Дума_партии[[#This Row],[Число избирателей, внесенных в список избирателей на момент окончания голосования]]</f>
        <v>752</v>
      </c>
      <c r="K159">
        <v>700</v>
      </c>
      <c r="L159">
        <v>0</v>
      </c>
      <c r="M159">
        <v>220</v>
      </c>
      <c r="N159">
        <v>181</v>
      </c>
      <c r="O159" s="3">
        <f t="shared" si="81"/>
        <v>53.324468085106382</v>
      </c>
      <c r="P159" s="3">
        <f t="shared" si="82"/>
        <v>24.069148936170212</v>
      </c>
      <c r="Q159">
        <v>299</v>
      </c>
      <c r="R159">
        <v>181</v>
      </c>
      <c r="S159">
        <v>220</v>
      </c>
      <c r="T159" s="1">
        <f t="shared" si="83"/>
        <v>401</v>
      </c>
      <c r="U159" s="3">
        <f t="shared" si="84"/>
        <v>45.137157107231921</v>
      </c>
      <c r="V159">
        <v>7</v>
      </c>
      <c r="W159" s="3">
        <f t="shared" si="85"/>
        <v>1.745635910224439</v>
      </c>
      <c r="X159">
        <v>394</v>
      </c>
      <c r="Y159">
        <v>0</v>
      </c>
      <c r="Z159">
        <v>0</v>
      </c>
      <c r="AA159">
        <v>54</v>
      </c>
      <c r="AB159" s="3">
        <f t="shared" si="86"/>
        <v>13.466334164588529</v>
      </c>
      <c r="AC159">
        <v>4</v>
      </c>
      <c r="AD159" s="3">
        <f t="shared" si="87"/>
        <v>0.99750623441396513</v>
      </c>
      <c r="AE159">
        <v>29</v>
      </c>
      <c r="AF159" s="3">
        <f t="shared" si="88"/>
        <v>7.2319201995012472</v>
      </c>
      <c r="AG159">
        <v>15</v>
      </c>
      <c r="AH159" s="3">
        <f t="shared" si="89"/>
        <v>3.7406483790523692</v>
      </c>
      <c r="AI159">
        <v>221</v>
      </c>
      <c r="AJ159" s="3">
        <f t="shared" si="90"/>
        <v>55.112219451371573</v>
      </c>
      <c r="AK159">
        <v>26</v>
      </c>
      <c r="AL159" s="3">
        <f t="shared" si="91"/>
        <v>6.4837905236907734</v>
      </c>
      <c r="AM159">
        <v>10</v>
      </c>
      <c r="AN159" s="3">
        <f t="shared" si="92"/>
        <v>2.4937655860349128</v>
      </c>
      <c r="AO159">
        <v>1</v>
      </c>
      <c r="AP159" s="3">
        <f t="shared" si="93"/>
        <v>0.24937655860349128</v>
      </c>
      <c r="AQ159">
        <v>7</v>
      </c>
      <c r="AR159" s="3">
        <f t="shared" si="94"/>
        <v>1.745635910224439</v>
      </c>
      <c r="AS159">
        <v>11</v>
      </c>
      <c r="AT159" s="3">
        <f t="shared" si="95"/>
        <v>2.7431421446384041</v>
      </c>
      <c r="AU159">
        <v>2</v>
      </c>
      <c r="AV159" s="3">
        <f t="shared" si="96"/>
        <v>0.49875311720698257</v>
      </c>
      <c r="AW159">
        <v>0</v>
      </c>
      <c r="AX159" s="3">
        <f t="shared" si="97"/>
        <v>0</v>
      </c>
      <c r="AY159">
        <v>6</v>
      </c>
      <c r="AZ159" s="3">
        <f t="shared" si="98"/>
        <v>1.4962593516209477</v>
      </c>
      <c r="BA159">
        <v>8</v>
      </c>
      <c r="BB159" s="3">
        <f t="shared" si="99"/>
        <v>1.9950124688279303</v>
      </c>
      <c r="BC159" t="s">
        <v>315</v>
      </c>
      <c r="BD159" s="72">
        <v>2017</v>
      </c>
      <c r="BE159" s="1"/>
      <c r="BF159"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152.04195804195805</v>
      </c>
      <c r="BG159" s="10">
        <f>2*(Дума_партии[[#This Row],[5. Всероссийская политическая партия "ЕДИНАЯ РОССИЯ"]]-(AB$203/100)*Дума_партии[[#This Row],[Число действительных избирательных бюллетеней]])</f>
        <v>217.42000000000002</v>
      </c>
      <c r="BH159" s="10">
        <f>(Дума_партии[[#This Row],[Вброс]]+Дума_партии[[#This Row],[Перекладывание]])/2</f>
        <v>184.73097902097902</v>
      </c>
    </row>
    <row r="160" spans="1:60" x14ac:dyDescent="0.4">
      <c r="A160" t="s">
        <v>49</v>
      </c>
      <c r="B160" t="s">
        <v>50</v>
      </c>
      <c r="C160" t="s">
        <v>51</v>
      </c>
      <c r="D160" t="s">
        <v>227</v>
      </c>
      <c r="E160" t="s">
        <v>288</v>
      </c>
      <c r="F160" s="8">
        <f t="shared" ca="1" si="80"/>
        <v>2034</v>
      </c>
      <c r="G160" t="s">
        <v>349</v>
      </c>
      <c r="H160" s="1" t="str">
        <f>LEFT(Дума_партии[[#This Row],[tik]],4)&amp;"."&amp;IF(ISNUMBER(VALUE(RIGHT(Дума_партии[[#This Row],[tik]]))),RIGHT(Дума_партии[[#This Row],[tik]]),"")</f>
        <v>Один.2</v>
      </c>
      <c r="I160">
        <v>793</v>
      </c>
      <c r="J160" s="8">
        <f>Дума_партии[[#This Row],[Число избирателей, внесенных в список избирателей на момент окончания голосования]]</f>
        <v>793</v>
      </c>
      <c r="K160">
        <v>700</v>
      </c>
      <c r="L160">
        <v>0</v>
      </c>
      <c r="M160">
        <v>352</v>
      </c>
      <c r="N160">
        <v>33</v>
      </c>
      <c r="O160" s="3">
        <f t="shared" si="81"/>
        <v>48.549810844892811</v>
      </c>
      <c r="P160" s="3">
        <f t="shared" si="82"/>
        <v>4.1614123581336697</v>
      </c>
      <c r="Q160">
        <v>315</v>
      </c>
      <c r="R160">
        <v>33</v>
      </c>
      <c r="S160">
        <v>348</v>
      </c>
      <c r="T160" s="1">
        <f t="shared" si="83"/>
        <v>381</v>
      </c>
      <c r="U160" s="3">
        <f t="shared" si="84"/>
        <v>8.6614173228346463</v>
      </c>
      <c r="V160">
        <v>12</v>
      </c>
      <c r="W160" s="3">
        <f t="shared" si="85"/>
        <v>3.1496062992125986</v>
      </c>
      <c r="X160">
        <v>369</v>
      </c>
      <c r="Y160">
        <v>0</v>
      </c>
      <c r="Z160">
        <v>0</v>
      </c>
      <c r="AA160">
        <v>70</v>
      </c>
      <c r="AB160" s="3">
        <f t="shared" si="86"/>
        <v>18.372703412073491</v>
      </c>
      <c r="AC160">
        <v>6</v>
      </c>
      <c r="AD160" s="3">
        <f t="shared" si="87"/>
        <v>1.5748031496062993</v>
      </c>
      <c r="AE160">
        <v>37</v>
      </c>
      <c r="AF160" s="3">
        <f t="shared" si="88"/>
        <v>9.7112860892388451</v>
      </c>
      <c r="AG160">
        <v>29</v>
      </c>
      <c r="AH160" s="3">
        <f t="shared" si="89"/>
        <v>7.6115485564304466</v>
      </c>
      <c r="AI160">
        <v>138</v>
      </c>
      <c r="AJ160" s="3">
        <f t="shared" si="90"/>
        <v>36.220472440944881</v>
      </c>
      <c r="AK160">
        <v>38</v>
      </c>
      <c r="AL160" s="3">
        <f t="shared" si="91"/>
        <v>9.9737532808398957</v>
      </c>
      <c r="AM160">
        <v>15</v>
      </c>
      <c r="AN160" s="3">
        <f t="shared" si="92"/>
        <v>3.9370078740157481</v>
      </c>
      <c r="AO160">
        <v>5</v>
      </c>
      <c r="AP160" s="3">
        <f t="shared" si="93"/>
        <v>1.3123359580052494</v>
      </c>
      <c r="AQ160">
        <v>5</v>
      </c>
      <c r="AR160" s="3">
        <f t="shared" si="94"/>
        <v>1.3123359580052494</v>
      </c>
      <c r="AS160">
        <v>9</v>
      </c>
      <c r="AT160" s="3">
        <f t="shared" si="95"/>
        <v>2.3622047244094486</v>
      </c>
      <c r="AU160">
        <v>0</v>
      </c>
      <c r="AV160" s="3">
        <f t="shared" si="96"/>
        <v>0</v>
      </c>
      <c r="AW160">
        <v>6</v>
      </c>
      <c r="AX160" s="3">
        <f t="shared" si="97"/>
        <v>1.5748031496062993</v>
      </c>
      <c r="AY160">
        <v>7</v>
      </c>
      <c r="AZ160" s="3">
        <f t="shared" si="98"/>
        <v>1.837270341207349</v>
      </c>
      <c r="BA160">
        <v>4</v>
      </c>
      <c r="BB160" s="3">
        <f t="shared" si="99"/>
        <v>1.0498687664041995</v>
      </c>
      <c r="BC160" t="s">
        <v>315</v>
      </c>
      <c r="BD160" s="72">
        <v>2017</v>
      </c>
      <c r="BE160" s="1"/>
      <c r="BF160"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45.923076923076934</v>
      </c>
      <c r="BG160" s="10">
        <f>2*(Дума_партии[[#This Row],[5. Всероссийская политическая партия "ЕДИНАЯ РОССИЯ"]]-(AB$203/100)*Дума_партии[[#This Row],[Число действительных избирательных бюллетеней]])</f>
        <v>65.670000000000016</v>
      </c>
      <c r="BH160" s="10">
        <f>(Дума_партии[[#This Row],[Вброс]]+Дума_партии[[#This Row],[Перекладывание]])/2</f>
        <v>55.796538461538475</v>
      </c>
    </row>
    <row r="161" spans="1:60" x14ac:dyDescent="0.4">
      <c r="A161" t="s">
        <v>49</v>
      </c>
      <c r="B161" t="s">
        <v>50</v>
      </c>
      <c r="C161" t="s">
        <v>51</v>
      </c>
      <c r="D161" t="s">
        <v>227</v>
      </c>
      <c r="E161" t="s">
        <v>289</v>
      </c>
      <c r="F161" s="8">
        <f t="shared" ca="1" si="80"/>
        <v>2035</v>
      </c>
      <c r="G161" t="s">
        <v>349</v>
      </c>
      <c r="H161" s="1" t="str">
        <f>LEFT(Дума_партии[[#This Row],[tik]],4)&amp;"."&amp;IF(ISNUMBER(VALUE(RIGHT(Дума_партии[[#This Row],[tik]]))),RIGHT(Дума_партии[[#This Row],[tik]]),"")</f>
        <v>Один.2</v>
      </c>
      <c r="I161">
        <v>1731</v>
      </c>
      <c r="J161" s="8">
        <f>Дума_партии[[#This Row],[Число избирателей, внесенных в список избирателей на момент окончания голосования]]</f>
        <v>1731</v>
      </c>
      <c r="K161">
        <v>1500</v>
      </c>
      <c r="L161">
        <v>0</v>
      </c>
      <c r="M161">
        <v>550</v>
      </c>
      <c r="N161">
        <v>7</v>
      </c>
      <c r="O161" s="3">
        <f t="shared" si="81"/>
        <v>32.177931831311383</v>
      </c>
      <c r="P161" s="3">
        <f t="shared" si="82"/>
        <v>0.40439052570768341</v>
      </c>
      <c r="Q161">
        <v>943</v>
      </c>
      <c r="R161">
        <v>7</v>
      </c>
      <c r="S161">
        <v>543</v>
      </c>
      <c r="T161" s="1">
        <f t="shared" si="83"/>
        <v>550</v>
      </c>
      <c r="U161" s="3">
        <f t="shared" si="84"/>
        <v>1.2727272727272727</v>
      </c>
      <c r="V161">
        <v>15</v>
      </c>
      <c r="W161" s="3">
        <f t="shared" si="85"/>
        <v>2.7272727272727271</v>
      </c>
      <c r="X161">
        <v>535</v>
      </c>
      <c r="Y161">
        <v>0</v>
      </c>
      <c r="Z161">
        <v>0</v>
      </c>
      <c r="AA161">
        <v>149</v>
      </c>
      <c r="AB161" s="3">
        <f t="shared" si="86"/>
        <v>27.09090909090909</v>
      </c>
      <c r="AC161">
        <v>4</v>
      </c>
      <c r="AD161" s="3">
        <f t="shared" si="87"/>
        <v>0.72727272727272729</v>
      </c>
      <c r="AE161">
        <v>29</v>
      </c>
      <c r="AF161" s="3">
        <f t="shared" si="88"/>
        <v>5.2727272727272725</v>
      </c>
      <c r="AG161">
        <v>58</v>
      </c>
      <c r="AH161" s="3">
        <f t="shared" si="89"/>
        <v>10.545454545454545</v>
      </c>
      <c r="AI161">
        <v>168</v>
      </c>
      <c r="AJ161" s="3">
        <f t="shared" si="90"/>
        <v>30.545454545454547</v>
      </c>
      <c r="AK161">
        <v>47</v>
      </c>
      <c r="AL161" s="3">
        <f t="shared" si="91"/>
        <v>8.545454545454545</v>
      </c>
      <c r="AM161">
        <v>15</v>
      </c>
      <c r="AN161" s="3">
        <f t="shared" si="92"/>
        <v>2.7272727272727271</v>
      </c>
      <c r="AO161">
        <v>6</v>
      </c>
      <c r="AP161" s="3">
        <f t="shared" si="93"/>
        <v>1.0909090909090908</v>
      </c>
      <c r="AQ161">
        <v>5</v>
      </c>
      <c r="AR161" s="3">
        <f t="shared" si="94"/>
        <v>0.90909090909090906</v>
      </c>
      <c r="AS161">
        <v>11</v>
      </c>
      <c r="AT161" s="3">
        <f t="shared" si="95"/>
        <v>2</v>
      </c>
      <c r="AU161">
        <v>0</v>
      </c>
      <c r="AV161" s="3">
        <f t="shared" si="96"/>
        <v>0</v>
      </c>
      <c r="AW161">
        <v>5</v>
      </c>
      <c r="AX161" s="3">
        <f t="shared" si="97"/>
        <v>0.90909090909090906</v>
      </c>
      <c r="AY161">
        <v>10</v>
      </c>
      <c r="AZ161" s="3">
        <f t="shared" si="98"/>
        <v>1.8181818181818181</v>
      </c>
      <c r="BA161">
        <v>28</v>
      </c>
      <c r="BB161" s="3">
        <f t="shared" si="99"/>
        <v>5.0909090909090908</v>
      </c>
      <c r="BC161" t="s">
        <v>315</v>
      </c>
      <c r="BD161" s="72">
        <v>2017</v>
      </c>
      <c r="BE161" s="1"/>
      <c r="BF161"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21.713286713286749</v>
      </c>
      <c r="BG161" s="10">
        <f>2*(Дума_партии[[#This Row],[5. Всероссийская политическая партия "ЕДИНАЯ РОССИЯ"]]-(AB$203/100)*Дума_партии[[#This Row],[Число действительных избирательных бюллетеней]])</f>
        <v>31.050000000000011</v>
      </c>
      <c r="BH161" s="10">
        <f>(Дума_партии[[#This Row],[Вброс]]+Дума_партии[[#This Row],[Перекладывание]])/2</f>
        <v>26.38164335664338</v>
      </c>
    </row>
    <row r="162" spans="1:60" x14ac:dyDescent="0.4">
      <c r="A162" t="s">
        <v>49</v>
      </c>
      <c r="B162" t="s">
        <v>50</v>
      </c>
      <c r="C162" t="s">
        <v>51</v>
      </c>
      <c r="D162" t="s">
        <v>227</v>
      </c>
      <c r="E162" t="s">
        <v>290</v>
      </c>
      <c r="F162" s="8">
        <f t="shared" ref="F162:F183" ca="1" si="100">SUMPRODUCT(MID(0&amp;E162, LARGE(INDEX(ISNUMBER(--MID(E162, ROW(INDIRECT("1:"&amp;LEN(E162))), 1)) * ROW(INDIRECT("1:"&amp;LEN(E162))), 0), ROW(INDIRECT("1:"&amp;LEN(E162))))+1, 1) * 10^ROW(INDIRECT("1:"&amp;LEN(E162)))/10)</f>
        <v>2036</v>
      </c>
      <c r="G162" t="s">
        <v>356</v>
      </c>
      <c r="H162" s="1" t="str">
        <f>LEFT(Дума_партии[[#This Row],[tik]],4)&amp;"."&amp;IF(ISNUMBER(VALUE(RIGHT(Дума_партии[[#This Row],[tik]]))),RIGHT(Дума_партии[[#This Row],[tik]]),"")</f>
        <v>Один.2</v>
      </c>
      <c r="I162">
        <v>1086</v>
      </c>
      <c r="J162" s="8">
        <f>Дума_партии[[#This Row],[Число избирателей, внесенных в список избирателей на момент окончания голосования]]</f>
        <v>1086</v>
      </c>
      <c r="K162">
        <v>900</v>
      </c>
      <c r="L162">
        <v>0</v>
      </c>
      <c r="M162">
        <v>225</v>
      </c>
      <c r="N162">
        <v>260</v>
      </c>
      <c r="O162" s="3">
        <f t="shared" ref="O162:O183" si="101">100*(M162+N162)/I162</f>
        <v>44.659300184162063</v>
      </c>
      <c r="P162" s="3">
        <f t="shared" ref="P162:P183" si="102">100*N162/I162</f>
        <v>23.941068139963168</v>
      </c>
      <c r="Q162">
        <v>415</v>
      </c>
      <c r="R162">
        <v>260</v>
      </c>
      <c r="S162">
        <v>225</v>
      </c>
      <c r="T162" s="1">
        <f t="shared" ref="T162:T183" si="103">R162+S162</f>
        <v>485</v>
      </c>
      <c r="U162" s="3">
        <f t="shared" ref="U162:U183" si="104">100*R162/T162</f>
        <v>53.608247422680414</v>
      </c>
      <c r="V162">
        <v>22</v>
      </c>
      <c r="W162" s="3">
        <f t="shared" ref="W162:W183" si="105">100*V162/T162</f>
        <v>4.536082474226804</v>
      </c>
      <c r="X162">
        <v>463</v>
      </c>
      <c r="Y162">
        <v>0</v>
      </c>
      <c r="Z162">
        <v>0</v>
      </c>
      <c r="AA162">
        <v>60</v>
      </c>
      <c r="AB162" s="3">
        <f t="shared" ref="AB162:AB183" si="106">100*AA162/$T162</f>
        <v>12.371134020618557</v>
      </c>
      <c r="AC162">
        <v>4</v>
      </c>
      <c r="AD162" s="3">
        <f t="shared" ref="AD162:AD183" si="107">100*AC162/$T162</f>
        <v>0.82474226804123707</v>
      </c>
      <c r="AE162">
        <v>30</v>
      </c>
      <c r="AF162" s="3">
        <f t="shared" ref="AF162:AF183" si="108">100*AE162/$T162</f>
        <v>6.1855670103092786</v>
      </c>
      <c r="AG162">
        <v>33</v>
      </c>
      <c r="AH162" s="3">
        <f t="shared" ref="AH162:AH183" si="109">100*AG162/$T162</f>
        <v>6.804123711340206</v>
      </c>
      <c r="AI162">
        <v>280</v>
      </c>
      <c r="AJ162" s="3">
        <f t="shared" ref="AJ162:AJ183" si="110">100*AI162/$T162</f>
        <v>57.731958762886599</v>
      </c>
      <c r="AK162">
        <v>27</v>
      </c>
      <c r="AL162" s="3">
        <f t="shared" ref="AL162:AL183" si="111">100*AK162/$T162</f>
        <v>5.5670103092783503</v>
      </c>
      <c r="AM162">
        <v>12</v>
      </c>
      <c r="AN162" s="3">
        <f t="shared" ref="AN162:AN183" si="112">100*AM162/$T162</f>
        <v>2.4742268041237114</v>
      </c>
      <c r="AO162">
        <v>1</v>
      </c>
      <c r="AP162" s="3">
        <f t="shared" ref="AP162:AP183" si="113">100*AO162/$T162</f>
        <v>0.20618556701030927</v>
      </c>
      <c r="AQ162">
        <v>4</v>
      </c>
      <c r="AR162" s="3">
        <f t="shared" ref="AR162:AR183" si="114">100*AQ162/$T162</f>
        <v>0.82474226804123707</v>
      </c>
      <c r="AS162">
        <v>3</v>
      </c>
      <c r="AT162" s="3">
        <f t="shared" ref="AT162:AT183" si="115">100*AS162/$T162</f>
        <v>0.61855670103092786</v>
      </c>
      <c r="AU162">
        <v>0</v>
      </c>
      <c r="AV162" s="3">
        <f t="shared" ref="AV162:AV183" si="116">100*AU162/$T162</f>
        <v>0</v>
      </c>
      <c r="AW162">
        <v>1</v>
      </c>
      <c r="AX162" s="3">
        <f t="shared" ref="AX162:AX183" si="117">100*AW162/$T162</f>
        <v>0.20618556701030927</v>
      </c>
      <c r="AY162">
        <v>6</v>
      </c>
      <c r="AZ162" s="3">
        <f t="shared" ref="AZ162:AZ183" si="118">100*AY162/$T162</f>
        <v>1.2371134020618557</v>
      </c>
      <c r="BA162">
        <v>2</v>
      </c>
      <c r="BB162" s="3">
        <f t="shared" ref="BB162:BB183" si="119">100*BA162/$T162</f>
        <v>0.41237113402061853</v>
      </c>
      <c r="BC162" t="s">
        <v>315</v>
      </c>
      <c r="BD162" s="72">
        <v>2017</v>
      </c>
      <c r="BE162" s="1"/>
      <c r="BF162"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207.05594405594405</v>
      </c>
      <c r="BG162" s="10">
        <f>2*(Дума_партии[[#This Row],[5. Всероссийская политическая партия "ЕДИНАЯ РОССИЯ"]]-(AB$203/100)*Дума_партии[[#This Row],[Число действительных избирательных бюллетеней]])</f>
        <v>296.09000000000003</v>
      </c>
      <c r="BH162" s="10">
        <f>(Дума_партии[[#This Row],[Вброс]]+Дума_партии[[#This Row],[Перекладывание]])/2</f>
        <v>251.57297202797204</v>
      </c>
    </row>
    <row r="163" spans="1:60" x14ac:dyDescent="0.4">
      <c r="A163" t="s">
        <v>49</v>
      </c>
      <c r="B163" t="s">
        <v>50</v>
      </c>
      <c r="C163" t="s">
        <v>51</v>
      </c>
      <c r="D163" t="s">
        <v>227</v>
      </c>
      <c r="E163" t="s">
        <v>291</v>
      </c>
      <c r="F163" s="8">
        <f t="shared" ca="1" si="100"/>
        <v>2037</v>
      </c>
      <c r="G163" t="s">
        <v>349</v>
      </c>
      <c r="H163" s="1" t="str">
        <f>LEFT(Дума_партии[[#This Row],[tik]],4)&amp;"."&amp;IF(ISNUMBER(VALUE(RIGHT(Дума_партии[[#This Row],[tik]]))),RIGHT(Дума_партии[[#This Row],[tik]]),"")</f>
        <v>Один.2</v>
      </c>
      <c r="I163">
        <v>3017</v>
      </c>
      <c r="J163" s="8">
        <f>Дума_партии[[#This Row],[Число избирателей, внесенных в список избирателей на момент окончания голосования]]</f>
        <v>3017</v>
      </c>
      <c r="K163">
        <v>2500</v>
      </c>
      <c r="L163">
        <v>0</v>
      </c>
      <c r="M163">
        <v>856</v>
      </c>
      <c r="N163">
        <v>0</v>
      </c>
      <c r="O163" s="3">
        <f t="shared" si="101"/>
        <v>28.372555518727211</v>
      </c>
      <c r="P163" s="3">
        <f t="shared" si="102"/>
        <v>0</v>
      </c>
      <c r="Q163">
        <v>1644</v>
      </c>
      <c r="R163">
        <v>0</v>
      </c>
      <c r="S163">
        <v>855</v>
      </c>
      <c r="T163" s="1">
        <f t="shared" si="103"/>
        <v>855</v>
      </c>
      <c r="U163" s="3">
        <f t="shared" si="104"/>
        <v>0</v>
      </c>
      <c r="V163">
        <v>9</v>
      </c>
      <c r="W163" s="3">
        <f t="shared" si="105"/>
        <v>1.0526315789473684</v>
      </c>
      <c r="X163">
        <v>846</v>
      </c>
      <c r="Y163">
        <v>0</v>
      </c>
      <c r="Z163">
        <v>0</v>
      </c>
      <c r="AA163">
        <v>257</v>
      </c>
      <c r="AB163" s="3">
        <f t="shared" si="106"/>
        <v>30.058479532163744</v>
      </c>
      <c r="AC163">
        <v>29</v>
      </c>
      <c r="AD163" s="3">
        <f t="shared" si="107"/>
        <v>3.3918128654970761</v>
      </c>
      <c r="AE163">
        <v>52</v>
      </c>
      <c r="AF163" s="3">
        <f t="shared" si="108"/>
        <v>6.0818713450292394</v>
      </c>
      <c r="AG163">
        <v>115</v>
      </c>
      <c r="AH163" s="3">
        <f t="shared" si="109"/>
        <v>13.450292397660819</v>
      </c>
      <c r="AI163">
        <v>188</v>
      </c>
      <c r="AJ163" s="3">
        <f t="shared" si="110"/>
        <v>21.988304093567251</v>
      </c>
      <c r="AK163">
        <v>63</v>
      </c>
      <c r="AL163" s="3">
        <f t="shared" si="111"/>
        <v>7.3684210526315788</v>
      </c>
      <c r="AM163">
        <v>66</v>
      </c>
      <c r="AN163" s="3">
        <f t="shared" si="112"/>
        <v>7.7192982456140351</v>
      </c>
      <c r="AO163">
        <v>11</v>
      </c>
      <c r="AP163" s="3">
        <f t="shared" si="113"/>
        <v>1.2865497076023391</v>
      </c>
      <c r="AQ163">
        <v>22</v>
      </c>
      <c r="AR163" s="3">
        <f t="shared" si="114"/>
        <v>2.5730994152046782</v>
      </c>
      <c r="AS163">
        <v>6</v>
      </c>
      <c r="AT163" s="3">
        <f t="shared" si="115"/>
        <v>0.70175438596491224</v>
      </c>
      <c r="AU163">
        <v>3</v>
      </c>
      <c r="AV163" s="3">
        <f t="shared" si="116"/>
        <v>0.35087719298245612</v>
      </c>
      <c r="AW163">
        <v>16</v>
      </c>
      <c r="AX163" s="3">
        <f t="shared" si="117"/>
        <v>1.871345029239766</v>
      </c>
      <c r="AY163">
        <v>10</v>
      </c>
      <c r="AZ163" s="3">
        <f t="shared" si="118"/>
        <v>1.1695906432748537</v>
      </c>
      <c r="BA163">
        <v>8</v>
      </c>
      <c r="BB163" s="3">
        <f t="shared" si="119"/>
        <v>0.93567251461988299</v>
      </c>
      <c r="BC163" t="s">
        <v>315</v>
      </c>
      <c r="BD163" t="s">
        <v>455</v>
      </c>
      <c r="BE163" s="1"/>
      <c r="BF163"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-74.279720279720266</v>
      </c>
      <c r="BG163" s="10">
        <f>2*(Дума_партии[[#This Row],[5. Всероссийская политическая партия "ЕДИНАЯ РОССИЯ"]]-(AB$203/100)*Дума_партии[[#This Row],[Число действительных избирательных бюллетеней]])</f>
        <v>-106.21999999999997</v>
      </c>
      <c r="BH163" s="10">
        <f>(Дума_партии[[#This Row],[Вброс]]+Дума_партии[[#This Row],[Перекладывание]])/2</f>
        <v>-90.249860139860118</v>
      </c>
    </row>
    <row r="164" spans="1:60" x14ac:dyDescent="0.4">
      <c r="A164" t="s">
        <v>49</v>
      </c>
      <c r="B164" t="s">
        <v>50</v>
      </c>
      <c r="C164" t="s">
        <v>51</v>
      </c>
      <c r="D164" t="s">
        <v>227</v>
      </c>
      <c r="E164" t="s">
        <v>292</v>
      </c>
      <c r="F164" s="8">
        <f t="shared" ca="1" si="100"/>
        <v>2038</v>
      </c>
      <c r="G164" t="s">
        <v>349</v>
      </c>
      <c r="H164" s="1" t="str">
        <f>LEFT(Дума_партии[[#This Row],[tik]],4)&amp;"."&amp;IF(ISNUMBER(VALUE(RIGHT(Дума_партии[[#This Row],[tik]]))),RIGHT(Дума_партии[[#This Row],[tik]]),"")</f>
        <v>Один.2</v>
      </c>
      <c r="I164">
        <v>2676</v>
      </c>
      <c r="J164" s="8">
        <f>Дума_партии[[#This Row],[Число избирателей, внесенных в список избирателей на момент окончания голосования]]</f>
        <v>2676</v>
      </c>
      <c r="K164">
        <v>2000</v>
      </c>
      <c r="L164">
        <v>0</v>
      </c>
      <c r="M164">
        <v>697</v>
      </c>
      <c r="N164">
        <v>1</v>
      </c>
      <c r="O164" s="3">
        <f t="shared" si="101"/>
        <v>26.083707025411062</v>
      </c>
      <c r="P164" s="3">
        <f t="shared" si="102"/>
        <v>3.7369207772795218E-2</v>
      </c>
      <c r="Q164">
        <v>1302</v>
      </c>
      <c r="R164">
        <v>1</v>
      </c>
      <c r="S164">
        <v>697</v>
      </c>
      <c r="T164" s="1">
        <f t="shared" si="103"/>
        <v>698</v>
      </c>
      <c r="U164" s="3">
        <f t="shared" si="104"/>
        <v>0.14326647564469913</v>
      </c>
      <c r="V164">
        <v>6</v>
      </c>
      <c r="W164" s="3">
        <f t="shared" si="105"/>
        <v>0.85959885386819479</v>
      </c>
      <c r="X164">
        <v>692</v>
      </c>
      <c r="Y164">
        <v>0</v>
      </c>
      <c r="Z164">
        <v>0</v>
      </c>
      <c r="AA164">
        <v>230</v>
      </c>
      <c r="AB164" s="3">
        <f t="shared" si="106"/>
        <v>32.9512893982808</v>
      </c>
      <c r="AC164">
        <v>20</v>
      </c>
      <c r="AD164" s="3">
        <f t="shared" si="107"/>
        <v>2.8653295128939829</v>
      </c>
      <c r="AE164">
        <v>44</v>
      </c>
      <c r="AF164" s="3">
        <f t="shared" si="108"/>
        <v>6.303724928366762</v>
      </c>
      <c r="AG164">
        <v>83</v>
      </c>
      <c r="AH164" s="3">
        <f t="shared" si="109"/>
        <v>11.891117478510029</v>
      </c>
      <c r="AI164">
        <v>161</v>
      </c>
      <c r="AJ164" s="3">
        <f t="shared" si="110"/>
        <v>23.06590257879656</v>
      </c>
      <c r="AK164">
        <v>55</v>
      </c>
      <c r="AL164" s="3">
        <f t="shared" si="111"/>
        <v>7.8796561604584525</v>
      </c>
      <c r="AM164">
        <v>35</v>
      </c>
      <c r="AN164" s="3">
        <f t="shared" si="112"/>
        <v>5.0143266475644701</v>
      </c>
      <c r="AO164">
        <v>8</v>
      </c>
      <c r="AP164" s="3">
        <f t="shared" si="113"/>
        <v>1.1461318051575931</v>
      </c>
      <c r="AQ164">
        <v>16</v>
      </c>
      <c r="AR164" s="3">
        <f t="shared" si="114"/>
        <v>2.2922636103151861</v>
      </c>
      <c r="AS164">
        <v>13</v>
      </c>
      <c r="AT164" s="3">
        <f t="shared" si="115"/>
        <v>1.8624641833810889</v>
      </c>
      <c r="AU164">
        <v>3</v>
      </c>
      <c r="AV164" s="3">
        <f t="shared" si="116"/>
        <v>0.42979942693409739</v>
      </c>
      <c r="AW164">
        <v>14</v>
      </c>
      <c r="AX164" s="3">
        <f t="shared" si="117"/>
        <v>2.005730659025788</v>
      </c>
      <c r="AY164">
        <v>4</v>
      </c>
      <c r="AZ164" s="3">
        <f t="shared" si="118"/>
        <v>0.57306590257879653</v>
      </c>
      <c r="BA164">
        <v>6</v>
      </c>
      <c r="BB164" s="3">
        <f t="shared" si="119"/>
        <v>0.85959885386819479</v>
      </c>
      <c r="BC164" t="s">
        <v>315</v>
      </c>
      <c r="BD164" s="72">
        <v>2017</v>
      </c>
      <c r="BE164" s="1">
        <v>1</v>
      </c>
      <c r="BF164"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-50.65734265734261</v>
      </c>
      <c r="BG164" s="10">
        <f>2*(Дума_партии[[#This Row],[5. Всероссийская политическая партия "ЕДИНАЯ РОССИЯ"]]-(AB$203/100)*Дума_партии[[#This Row],[Число действительных избирательных бюллетеней]])</f>
        <v>-72.439999999999941</v>
      </c>
      <c r="BH164" s="10">
        <f>(Дума_партии[[#This Row],[Вброс]]+Дума_партии[[#This Row],[Перекладывание]])/2</f>
        <v>-61.548671328671276</v>
      </c>
    </row>
    <row r="165" spans="1:60" x14ac:dyDescent="0.4">
      <c r="A165" t="s">
        <v>49</v>
      </c>
      <c r="B165" t="s">
        <v>50</v>
      </c>
      <c r="C165" t="s">
        <v>51</v>
      </c>
      <c r="D165" t="s">
        <v>227</v>
      </c>
      <c r="E165" t="s">
        <v>293</v>
      </c>
      <c r="F165" s="8">
        <f t="shared" ca="1" si="100"/>
        <v>2039</v>
      </c>
      <c r="G165" t="s">
        <v>349</v>
      </c>
      <c r="H165" s="1" t="str">
        <f>LEFT(Дума_партии[[#This Row],[tik]],4)&amp;"."&amp;IF(ISNUMBER(VALUE(RIGHT(Дума_партии[[#This Row],[tik]]))),RIGHT(Дума_партии[[#This Row],[tik]]),"")</f>
        <v>Один.2</v>
      </c>
      <c r="I165">
        <v>2358</v>
      </c>
      <c r="J165" s="8">
        <f>Дума_партии[[#This Row],[Число избирателей, внесенных в список избирателей на момент окончания голосования]]</f>
        <v>2358</v>
      </c>
      <c r="K165">
        <v>2000</v>
      </c>
      <c r="L165">
        <v>0</v>
      </c>
      <c r="M165">
        <v>637</v>
      </c>
      <c r="N165">
        <v>2</v>
      </c>
      <c r="O165" s="3">
        <f t="shared" si="101"/>
        <v>27.099236641221374</v>
      </c>
      <c r="P165" s="3">
        <f t="shared" si="102"/>
        <v>8.4817642069550461E-2</v>
      </c>
      <c r="Q165">
        <v>1361</v>
      </c>
      <c r="R165">
        <v>2</v>
      </c>
      <c r="S165">
        <v>637</v>
      </c>
      <c r="T165" s="1">
        <f t="shared" si="103"/>
        <v>639</v>
      </c>
      <c r="U165" s="3">
        <f t="shared" si="104"/>
        <v>0.3129890453834116</v>
      </c>
      <c r="V165">
        <v>10</v>
      </c>
      <c r="W165" s="3">
        <f t="shared" si="105"/>
        <v>1.5649452269170578</v>
      </c>
      <c r="X165">
        <v>629</v>
      </c>
      <c r="Y165">
        <v>0</v>
      </c>
      <c r="Z165">
        <v>0</v>
      </c>
      <c r="AA165">
        <v>200</v>
      </c>
      <c r="AB165" s="3">
        <f t="shared" si="106"/>
        <v>31.298904538341159</v>
      </c>
      <c r="AC165">
        <v>14</v>
      </c>
      <c r="AD165" s="3">
        <f t="shared" si="107"/>
        <v>2.1909233176838812</v>
      </c>
      <c r="AE165">
        <v>54</v>
      </c>
      <c r="AF165" s="3">
        <f t="shared" si="108"/>
        <v>8.4507042253521121</v>
      </c>
      <c r="AG165">
        <v>58</v>
      </c>
      <c r="AH165" s="3">
        <f t="shared" si="109"/>
        <v>9.0766823161189354</v>
      </c>
      <c r="AI165">
        <v>147</v>
      </c>
      <c r="AJ165" s="3">
        <f t="shared" si="110"/>
        <v>23.004694835680752</v>
      </c>
      <c r="AK165">
        <v>48</v>
      </c>
      <c r="AL165" s="3">
        <f t="shared" si="111"/>
        <v>7.511737089201878</v>
      </c>
      <c r="AM165">
        <v>33</v>
      </c>
      <c r="AN165" s="3">
        <f t="shared" si="112"/>
        <v>5.164319248826291</v>
      </c>
      <c r="AO165">
        <v>6</v>
      </c>
      <c r="AP165" s="3">
        <f t="shared" si="113"/>
        <v>0.93896713615023475</v>
      </c>
      <c r="AQ165">
        <v>21</v>
      </c>
      <c r="AR165" s="3">
        <f t="shared" si="114"/>
        <v>3.2863849765258215</v>
      </c>
      <c r="AS165">
        <v>13</v>
      </c>
      <c r="AT165" s="3">
        <f t="shared" si="115"/>
        <v>2.0344287949921753</v>
      </c>
      <c r="AU165">
        <v>0</v>
      </c>
      <c r="AV165" s="3">
        <f t="shared" si="116"/>
        <v>0</v>
      </c>
      <c r="AW165">
        <v>10</v>
      </c>
      <c r="AX165" s="3">
        <f t="shared" si="117"/>
        <v>1.5649452269170578</v>
      </c>
      <c r="AY165">
        <v>10</v>
      </c>
      <c r="AZ165" s="3">
        <f t="shared" si="118"/>
        <v>1.5649452269170578</v>
      </c>
      <c r="BA165">
        <v>15</v>
      </c>
      <c r="BB165" s="3">
        <f t="shared" si="119"/>
        <v>2.347417840375587</v>
      </c>
      <c r="BC165" t="s">
        <v>315</v>
      </c>
      <c r="BD165" s="72">
        <v>2017</v>
      </c>
      <c r="BE165" s="1"/>
      <c r="BF165"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-45.125874125874105</v>
      </c>
      <c r="BG165" s="10">
        <f>2*(Дума_партии[[#This Row],[5. Всероссийская политическая партия "ЕДИНАЯ РОССИЯ"]]-(AB$203/100)*Дума_партии[[#This Row],[Число действительных избирательных бюллетеней]])</f>
        <v>-64.529999999999973</v>
      </c>
      <c r="BH165" s="10">
        <f>(Дума_партии[[#This Row],[Вброс]]+Дума_партии[[#This Row],[Перекладывание]])/2</f>
        <v>-54.827937062937039</v>
      </c>
    </row>
    <row r="166" spans="1:60" x14ac:dyDescent="0.4">
      <c r="A166" t="s">
        <v>49</v>
      </c>
      <c r="B166" t="s">
        <v>50</v>
      </c>
      <c r="C166" t="s">
        <v>51</v>
      </c>
      <c r="D166" t="s">
        <v>227</v>
      </c>
      <c r="E166" t="s">
        <v>294</v>
      </c>
      <c r="F166" s="8">
        <f t="shared" ca="1" si="100"/>
        <v>2040</v>
      </c>
      <c r="G166" t="s">
        <v>349</v>
      </c>
      <c r="H166" s="1" t="str">
        <f>LEFT(Дума_партии[[#This Row],[tik]],4)&amp;"."&amp;IF(ISNUMBER(VALUE(RIGHT(Дума_партии[[#This Row],[tik]]))),RIGHT(Дума_партии[[#This Row],[tik]]),"")</f>
        <v>Один.2</v>
      </c>
      <c r="I166">
        <v>2212</v>
      </c>
      <c r="J166" s="8">
        <f>Дума_партии[[#This Row],[Число избирателей, внесенных в список избирателей на момент окончания голосования]]</f>
        <v>2212</v>
      </c>
      <c r="K166">
        <v>1800</v>
      </c>
      <c r="L166">
        <v>0</v>
      </c>
      <c r="M166">
        <v>650</v>
      </c>
      <c r="N166">
        <v>3</v>
      </c>
      <c r="O166" s="3">
        <f t="shared" si="101"/>
        <v>29.520795660036168</v>
      </c>
      <c r="P166" s="3">
        <f t="shared" si="102"/>
        <v>0.13562386980108498</v>
      </c>
      <c r="Q166">
        <v>1147</v>
      </c>
      <c r="R166">
        <v>3</v>
      </c>
      <c r="S166">
        <v>650</v>
      </c>
      <c r="T166" s="1">
        <f t="shared" si="103"/>
        <v>653</v>
      </c>
      <c r="U166" s="3">
        <f t="shared" si="104"/>
        <v>0.45941807044410415</v>
      </c>
      <c r="V166">
        <v>8</v>
      </c>
      <c r="W166" s="3">
        <f t="shared" si="105"/>
        <v>1.2251148545176109</v>
      </c>
      <c r="X166">
        <v>645</v>
      </c>
      <c r="Y166">
        <v>0</v>
      </c>
      <c r="Z166">
        <v>0</v>
      </c>
      <c r="AA166">
        <v>215</v>
      </c>
      <c r="AB166" s="3">
        <f t="shared" si="106"/>
        <v>32.924961715160798</v>
      </c>
      <c r="AC166">
        <v>13</v>
      </c>
      <c r="AD166" s="3">
        <f t="shared" si="107"/>
        <v>1.9908116385911179</v>
      </c>
      <c r="AE166">
        <v>49</v>
      </c>
      <c r="AF166" s="3">
        <f t="shared" si="108"/>
        <v>7.5038284839203673</v>
      </c>
      <c r="AG166">
        <v>77</v>
      </c>
      <c r="AH166" s="3">
        <f t="shared" si="109"/>
        <v>11.791730474732006</v>
      </c>
      <c r="AI166">
        <v>154</v>
      </c>
      <c r="AJ166" s="3">
        <f t="shared" si="110"/>
        <v>23.583460949464012</v>
      </c>
      <c r="AK166">
        <v>62</v>
      </c>
      <c r="AL166" s="3">
        <f t="shared" si="111"/>
        <v>9.4946401225114858</v>
      </c>
      <c r="AM166">
        <v>21</v>
      </c>
      <c r="AN166" s="3">
        <f t="shared" si="112"/>
        <v>3.215926493108729</v>
      </c>
      <c r="AO166">
        <v>9</v>
      </c>
      <c r="AP166" s="3">
        <f t="shared" si="113"/>
        <v>1.3782542113323124</v>
      </c>
      <c r="AQ166">
        <v>11</v>
      </c>
      <c r="AR166" s="3">
        <f t="shared" si="114"/>
        <v>1.6845329249617151</v>
      </c>
      <c r="AS166">
        <v>11</v>
      </c>
      <c r="AT166" s="3">
        <f t="shared" si="115"/>
        <v>1.6845329249617151</v>
      </c>
      <c r="AU166">
        <v>1</v>
      </c>
      <c r="AV166" s="3">
        <f t="shared" si="116"/>
        <v>0.15313935681470137</v>
      </c>
      <c r="AW166">
        <v>9</v>
      </c>
      <c r="AX166" s="3">
        <f t="shared" si="117"/>
        <v>1.3782542113323124</v>
      </c>
      <c r="AY166">
        <v>5</v>
      </c>
      <c r="AZ166" s="3">
        <f t="shared" si="118"/>
        <v>0.76569678407350694</v>
      </c>
      <c r="BA166">
        <v>8</v>
      </c>
      <c r="BB166" s="3">
        <f t="shared" si="119"/>
        <v>1.2251148545176109</v>
      </c>
      <c r="BC166" t="s">
        <v>315</v>
      </c>
      <c r="BD166" s="72">
        <v>2017</v>
      </c>
      <c r="BE166" s="1"/>
      <c r="BF166"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-41.713286713286692</v>
      </c>
      <c r="BG166" s="10">
        <f>2*(Дума_партии[[#This Row],[5. Всероссийская политическая партия "ЕДИНАЯ РОССИЯ"]]-(AB$203/100)*Дума_партии[[#This Row],[Число действительных избирательных бюллетеней]])</f>
        <v>-59.649999999999977</v>
      </c>
      <c r="BH166" s="10">
        <f>(Дума_партии[[#This Row],[Вброс]]+Дума_партии[[#This Row],[Перекладывание]])/2</f>
        <v>-50.681643356643335</v>
      </c>
    </row>
    <row r="167" spans="1:60" x14ac:dyDescent="0.4">
      <c r="A167" t="s">
        <v>49</v>
      </c>
      <c r="B167" t="s">
        <v>50</v>
      </c>
      <c r="C167" t="s">
        <v>51</v>
      </c>
      <c r="D167" t="s">
        <v>227</v>
      </c>
      <c r="E167" t="s">
        <v>295</v>
      </c>
      <c r="F167" s="8">
        <f t="shared" ca="1" si="100"/>
        <v>2041</v>
      </c>
      <c r="G167" t="s">
        <v>349</v>
      </c>
      <c r="H167" s="1" t="str">
        <f>LEFT(Дума_партии[[#This Row],[tik]],4)&amp;"."&amp;IF(ISNUMBER(VALUE(RIGHT(Дума_партии[[#This Row],[tik]]))),RIGHT(Дума_партии[[#This Row],[tik]]),"")</f>
        <v>Один.2</v>
      </c>
      <c r="I167">
        <v>2419</v>
      </c>
      <c r="J167" s="8">
        <f>Дума_партии[[#This Row],[Число избирателей, внесенных в список избирателей на момент окончания голосования]]</f>
        <v>2419</v>
      </c>
      <c r="K167">
        <v>2000</v>
      </c>
      <c r="L167">
        <v>0</v>
      </c>
      <c r="M167">
        <v>648</v>
      </c>
      <c r="N167">
        <v>3</v>
      </c>
      <c r="O167" s="3">
        <f t="shared" si="101"/>
        <v>26.91194708557255</v>
      </c>
      <c r="P167" s="3">
        <f t="shared" si="102"/>
        <v>0.12401818933443572</v>
      </c>
      <c r="Q167">
        <v>1349</v>
      </c>
      <c r="R167">
        <v>3</v>
      </c>
      <c r="S167">
        <v>648</v>
      </c>
      <c r="T167" s="1">
        <f t="shared" si="103"/>
        <v>651</v>
      </c>
      <c r="U167" s="3">
        <f t="shared" si="104"/>
        <v>0.46082949308755761</v>
      </c>
      <c r="V167">
        <v>20</v>
      </c>
      <c r="W167" s="3">
        <f t="shared" si="105"/>
        <v>3.0721966205837172</v>
      </c>
      <c r="X167">
        <v>631</v>
      </c>
      <c r="Y167">
        <v>0</v>
      </c>
      <c r="Z167">
        <v>0</v>
      </c>
      <c r="AA167">
        <v>210</v>
      </c>
      <c r="AB167" s="3">
        <f t="shared" si="106"/>
        <v>32.258064516129032</v>
      </c>
      <c r="AC167">
        <v>13</v>
      </c>
      <c r="AD167" s="3">
        <f t="shared" si="107"/>
        <v>1.9969278033794162</v>
      </c>
      <c r="AE167">
        <v>34</v>
      </c>
      <c r="AF167" s="3">
        <f t="shared" si="108"/>
        <v>5.2227342549923197</v>
      </c>
      <c r="AG167">
        <v>65</v>
      </c>
      <c r="AH167" s="3">
        <f t="shared" si="109"/>
        <v>9.9846390168970807</v>
      </c>
      <c r="AI167">
        <v>164</v>
      </c>
      <c r="AJ167" s="3">
        <f t="shared" si="110"/>
        <v>25.192012288786483</v>
      </c>
      <c r="AK167">
        <v>59</v>
      </c>
      <c r="AL167" s="3">
        <f t="shared" si="111"/>
        <v>9.0629800307219668</v>
      </c>
      <c r="AM167">
        <v>17</v>
      </c>
      <c r="AN167" s="3">
        <f t="shared" si="112"/>
        <v>2.6113671274961598</v>
      </c>
      <c r="AO167">
        <v>9</v>
      </c>
      <c r="AP167" s="3">
        <f t="shared" si="113"/>
        <v>1.3824884792626728</v>
      </c>
      <c r="AQ167">
        <v>14</v>
      </c>
      <c r="AR167" s="3">
        <f t="shared" si="114"/>
        <v>2.150537634408602</v>
      </c>
      <c r="AS167">
        <v>13</v>
      </c>
      <c r="AT167" s="3">
        <f t="shared" si="115"/>
        <v>1.9969278033794162</v>
      </c>
      <c r="AU167">
        <v>1</v>
      </c>
      <c r="AV167" s="3">
        <f t="shared" si="116"/>
        <v>0.15360983102918588</v>
      </c>
      <c r="AW167">
        <v>8</v>
      </c>
      <c r="AX167" s="3">
        <f t="shared" si="117"/>
        <v>1.228878648233487</v>
      </c>
      <c r="AY167">
        <v>8</v>
      </c>
      <c r="AZ167" s="3">
        <f t="shared" si="118"/>
        <v>1.228878648233487</v>
      </c>
      <c r="BA167">
        <v>16</v>
      </c>
      <c r="BB167" s="3">
        <f t="shared" si="119"/>
        <v>2.4577572964669741</v>
      </c>
      <c r="BC167" t="s">
        <v>315</v>
      </c>
      <c r="BD167" s="72">
        <v>2017</v>
      </c>
      <c r="BE167" s="1"/>
      <c r="BF167"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-22.146853146853118</v>
      </c>
      <c r="BG167" s="10">
        <f>2*(Дума_партии[[#This Row],[5. Всероссийская политическая партия "ЕДИНАЯ РОССИЯ"]]-(AB$203/100)*Дума_партии[[#This Row],[Число действительных избирательных бюллетеней]])</f>
        <v>-31.669999999999959</v>
      </c>
      <c r="BH167" s="10">
        <f>(Дума_партии[[#This Row],[Вброс]]+Дума_партии[[#This Row],[Перекладывание]])/2</f>
        <v>-26.908426573426539</v>
      </c>
    </row>
    <row r="168" spans="1:60" x14ac:dyDescent="0.4">
      <c r="A168" t="s">
        <v>49</v>
      </c>
      <c r="B168" t="s">
        <v>50</v>
      </c>
      <c r="C168" t="s">
        <v>51</v>
      </c>
      <c r="D168" t="s">
        <v>227</v>
      </c>
      <c r="E168" t="s">
        <v>296</v>
      </c>
      <c r="F168" s="8">
        <f t="shared" ca="1" si="100"/>
        <v>2042</v>
      </c>
      <c r="G168" t="s">
        <v>349</v>
      </c>
      <c r="H168" s="1" t="str">
        <f>LEFT(Дума_партии[[#This Row],[tik]],4)&amp;"."&amp;IF(ISNUMBER(VALUE(RIGHT(Дума_партии[[#This Row],[tik]]))),RIGHT(Дума_партии[[#This Row],[tik]]),"")</f>
        <v>Один.2</v>
      </c>
      <c r="I168">
        <v>2155</v>
      </c>
      <c r="J168" s="8">
        <f>Дума_партии[[#This Row],[Число избирателей, внесенных в список избирателей на момент окончания голосования]]</f>
        <v>2155</v>
      </c>
      <c r="K168">
        <v>1700</v>
      </c>
      <c r="L168">
        <v>0</v>
      </c>
      <c r="M168">
        <v>494</v>
      </c>
      <c r="N168">
        <v>1</v>
      </c>
      <c r="O168" s="3">
        <f t="shared" si="101"/>
        <v>22.96983758700696</v>
      </c>
      <c r="P168" s="3">
        <f t="shared" si="102"/>
        <v>4.6403712296983757E-2</v>
      </c>
      <c r="Q168">
        <v>1205</v>
      </c>
      <c r="R168">
        <v>1</v>
      </c>
      <c r="S168">
        <v>492</v>
      </c>
      <c r="T168" s="1">
        <f t="shared" si="103"/>
        <v>493</v>
      </c>
      <c r="U168" s="3">
        <f t="shared" si="104"/>
        <v>0.20283975659229209</v>
      </c>
      <c r="V168">
        <v>9</v>
      </c>
      <c r="W168" s="3">
        <f t="shared" si="105"/>
        <v>1.8255578093306288</v>
      </c>
      <c r="X168">
        <v>484</v>
      </c>
      <c r="Y168">
        <v>0</v>
      </c>
      <c r="Z168">
        <v>0</v>
      </c>
      <c r="AA168">
        <v>119</v>
      </c>
      <c r="AB168" s="3">
        <f t="shared" si="106"/>
        <v>24.137931034482758</v>
      </c>
      <c r="AC168">
        <v>12</v>
      </c>
      <c r="AD168" s="3">
        <f t="shared" si="107"/>
        <v>2.4340770791075053</v>
      </c>
      <c r="AE168">
        <v>33</v>
      </c>
      <c r="AF168" s="3">
        <f t="shared" si="108"/>
        <v>6.6937119675456387</v>
      </c>
      <c r="AG168">
        <v>42</v>
      </c>
      <c r="AH168" s="3">
        <f t="shared" si="109"/>
        <v>8.5192697768762677</v>
      </c>
      <c r="AI168">
        <v>152</v>
      </c>
      <c r="AJ168" s="3">
        <f t="shared" si="110"/>
        <v>30.831643002028397</v>
      </c>
      <c r="AK168">
        <v>49</v>
      </c>
      <c r="AL168" s="3">
        <f t="shared" si="111"/>
        <v>9.939148073022313</v>
      </c>
      <c r="AM168">
        <v>15</v>
      </c>
      <c r="AN168" s="3">
        <f t="shared" si="112"/>
        <v>3.0425963488843815</v>
      </c>
      <c r="AO168">
        <v>11</v>
      </c>
      <c r="AP168" s="3">
        <f t="shared" si="113"/>
        <v>2.2312373225152129</v>
      </c>
      <c r="AQ168">
        <v>16</v>
      </c>
      <c r="AR168" s="3">
        <f t="shared" si="114"/>
        <v>3.2454361054766734</v>
      </c>
      <c r="AS168">
        <v>14</v>
      </c>
      <c r="AT168" s="3">
        <f t="shared" si="115"/>
        <v>2.8397565922920891</v>
      </c>
      <c r="AU168">
        <v>1</v>
      </c>
      <c r="AV168" s="3">
        <f t="shared" si="116"/>
        <v>0.20283975659229209</v>
      </c>
      <c r="AW168">
        <v>8</v>
      </c>
      <c r="AX168" s="3">
        <f t="shared" si="117"/>
        <v>1.6227180527383367</v>
      </c>
      <c r="AY168">
        <v>3</v>
      </c>
      <c r="AZ168" s="3">
        <f t="shared" si="118"/>
        <v>0.60851926977687631</v>
      </c>
      <c r="BA168">
        <v>9</v>
      </c>
      <c r="BB168" s="3">
        <f t="shared" si="119"/>
        <v>1.8255578093306288</v>
      </c>
      <c r="BC168" t="s">
        <v>315</v>
      </c>
      <c r="BD168" s="72">
        <v>2017</v>
      </c>
      <c r="BE168" s="1"/>
      <c r="BF168"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19.664335664335681</v>
      </c>
      <c r="BG168" s="10">
        <f>2*(Дума_партии[[#This Row],[5. Всероссийская политическая партия "ЕДИНАЯ РОССИЯ"]]-(AB$203/100)*Дума_партии[[#This Row],[Число действительных избирательных бюллетеней]])</f>
        <v>28.120000000000005</v>
      </c>
      <c r="BH168" s="10">
        <f>(Дума_партии[[#This Row],[Вброс]]+Дума_партии[[#This Row],[Перекладывание]])/2</f>
        <v>23.892167832167843</v>
      </c>
    </row>
    <row r="169" spans="1:60" x14ac:dyDescent="0.4">
      <c r="A169" t="s">
        <v>49</v>
      </c>
      <c r="B169" t="s">
        <v>50</v>
      </c>
      <c r="C169" t="s">
        <v>51</v>
      </c>
      <c r="D169" t="s">
        <v>227</v>
      </c>
      <c r="E169" t="s">
        <v>297</v>
      </c>
      <c r="F169" s="8">
        <f t="shared" ca="1" si="100"/>
        <v>2043</v>
      </c>
      <c r="G169" t="s">
        <v>349</v>
      </c>
      <c r="H169" s="1" t="str">
        <f>LEFT(Дума_партии[[#This Row],[tik]],4)&amp;"."&amp;IF(ISNUMBER(VALUE(RIGHT(Дума_партии[[#This Row],[tik]]))),RIGHT(Дума_партии[[#This Row],[tik]]),"")</f>
        <v>Один.2</v>
      </c>
      <c r="I169">
        <v>2359</v>
      </c>
      <c r="J169" s="8">
        <f>Дума_партии[[#This Row],[Число избирателей, внесенных в список избирателей на момент окончания голосования]]</f>
        <v>2359</v>
      </c>
      <c r="K169">
        <v>2000</v>
      </c>
      <c r="L169">
        <v>0</v>
      </c>
      <c r="M169">
        <v>562</v>
      </c>
      <c r="N169">
        <v>3</v>
      </c>
      <c r="O169" s="3">
        <f t="shared" si="101"/>
        <v>23.950826621449767</v>
      </c>
      <c r="P169" s="3">
        <f t="shared" si="102"/>
        <v>0.1271725307333616</v>
      </c>
      <c r="Q169">
        <v>1435</v>
      </c>
      <c r="R169">
        <v>3</v>
      </c>
      <c r="S169">
        <v>559</v>
      </c>
      <c r="T169" s="1">
        <f t="shared" si="103"/>
        <v>562</v>
      </c>
      <c r="U169" s="3">
        <f t="shared" si="104"/>
        <v>0.53380782918149461</v>
      </c>
      <c r="V169">
        <v>10</v>
      </c>
      <c r="W169" s="3">
        <f t="shared" si="105"/>
        <v>1.7793594306049823</v>
      </c>
      <c r="X169">
        <v>552</v>
      </c>
      <c r="Y169">
        <v>0</v>
      </c>
      <c r="Z169">
        <v>0</v>
      </c>
      <c r="AA169">
        <v>171</v>
      </c>
      <c r="AB169" s="3">
        <f t="shared" si="106"/>
        <v>30.427046263345197</v>
      </c>
      <c r="AC169">
        <v>8</v>
      </c>
      <c r="AD169" s="3">
        <f t="shared" si="107"/>
        <v>1.4234875444839858</v>
      </c>
      <c r="AE169">
        <v>31</v>
      </c>
      <c r="AF169" s="3">
        <f t="shared" si="108"/>
        <v>5.5160142348754446</v>
      </c>
      <c r="AG169">
        <v>52</v>
      </c>
      <c r="AH169" s="3">
        <f t="shared" si="109"/>
        <v>9.252669039145907</v>
      </c>
      <c r="AI169">
        <v>147</v>
      </c>
      <c r="AJ169" s="3">
        <f t="shared" si="110"/>
        <v>26.156583629893237</v>
      </c>
      <c r="AK169">
        <v>57</v>
      </c>
      <c r="AL169" s="3">
        <f t="shared" si="111"/>
        <v>10.142348754448399</v>
      </c>
      <c r="AM169">
        <v>24</v>
      </c>
      <c r="AN169" s="3">
        <f t="shared" si="112"/>
        <v>4.2704626334519569</v>
      </c>
      <c r="AO169">
        <v>8</v>
      </c>
      <c r="AP169" s="3">
        <f t="shared" si="113"/>
        <v>1.4234875444839858</v>
      </c>
      <c r="AQ169">
        <v>12</v>
      </c>
      <c r="AR169" s="3">
        <f t="shared" si="114"/>
        <v>2.1352313167259784</v>
      </c>
      <c r="AS169">
        <v>14</v>
      </c>
      <c r="AT169" s="3">
        <f t="shared" si="115"/>
        <v>2.4911032028469751</v>
      </c>
      <c r="AU169">
        <v>1</v>
      </c>
      <c r="AV169" s="3">
        <f t="shared" si="116"/>
        <v>0.17793594306049823</v>
      </c>
      <c r="AW169">
        <v>8</v>
      </c>
      <c r="AX169" s="3">
        <f t="shared" si="117"/>
        <v>1.4234875444839858</v>
      </c>
      <c r="AY169">
        <v>6</v>
      </c>
      <c r="AZ169" s="3">
        <f t="shared" si="118"/>
        <v>1.0676156583629892</v>
      </c>
      <c r="BA169">
        <v>13</v>
      </c>
      <c r="BB169" s="3">
        <f t="shared" si="119"/>
        <v>2.3131672597864767</v>
      </c>
      <c r="BC169" t="s">
        <v>315</v>
      </c>
      <c r="BD169" s="72">
        <v>2017</v>
      </c>
      <c r="BE169" s="1"/>
      <c r="BF169"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-14.433566433566398</v>
      </c>
      <c r="BG169" s="10">
        <f>2*(Дума_партии[[#This Row],[5. Всероссийская политическая партия "ЕДИНАЯ РОССИЯ"]]-(AB$203/100)*Дума_партии[[#This Row],[Число действительных избирательных бюллетеней]])</f>
        <v>-20.639999999999986</v>
      </c>
      <c r="BH169" s="10">
        <f>(Дума_партии[[#This Row],[Вброс]]+Дума_партии[[#This Row],[Перекладывание]])/2</f>
        <v>-17.536783216783192</v>
      </c>
    </row>
    <row r="170" spans="1:60" x14ac:dyDescent="0.4">
      <c r="A170" t="s">
        <v>49</v>
      </c>
      <c r="B170" t="s">
        <v>50</v>
      </c>
      <c r="C170" t="s">
        <v>51</v>
      </c>
      <c r="D170" t="s">
        <v>227</v>
      </c>
      <c r="E170" t="s">
        <v>298</v>
      </c>
      <c r="F170" s="8">
        <f t="shared" ca="1" si="100"/>
        <v>2045</v>
      </c>
      <c r="G170" t="s">
        <v>357</v>
      </c>
      <c r="H170" s="1" t="str">
        <f>LEFT(Дума_партии[[#This Row],[tik]],4)&amp;"."&amp;IF(ISNUMBER(VALUE(RIGHT(Дума_партии[[#This Row],[tik]]))),RIGHT(Дума_партии[[#This Row],[tik]]),"")</f>
        <v>Один.2</v>
      </c>
      <c r="I170">
        <v>2958</v>
      </c>
      <c r="J170" s="8">
        <f>Дума_партии[[#This Row],[Число избирателей, внесенных в список избирателей на момент окончания голосования]]</f>
        <v>2958</v>
      </c>
      <c r="K170">
        <v>2500</v>
      </c>
      <c r="L170">
        <v>0</v>
      </c>
      <c r="M170">
        <v>766</v>
      </c>
      <c r="N170">
        <v>18</v>
      </c>
      <c r="O170" s="3">
        <f t="shared" si="101"/>
        <v>26.504394861392832</v>
      </c>
      <c r="P170" s="3">
        <f t="shared" si="102"/>
        <v>0.60851926977687631</v>
      </c>
      <c r="Q170">
        <v>1716</v>
      </c>
      <c r="R170">
        <v>18</v>
      </c>
      <c r="S170">
        <v>766</v>
      </c>
      <c r="T170" s="1">
        <f t="shared" si="103"/>
        <v>784</v>
      </c>
      <c r="U170" s="3">
        <f t="shared" si="104"/>
        <v>2.295918367346939</v>
      </c>
      <c r="V170">
        <v>33</v>
      </c>
      <c r="W170" s="3">
        <f t="shared" si="105"/>
        <v>4.2091836734693882</v>
      </c>
      <c r="X170">
        <v>751</v>
      </c>
      <c r="Y170">
        <v>0</v>
      </c>
      <c r="Z170">
        <v>0</v>
      </c>
      <c r="AA170">
        <v>259</v>
      </c>
      <c r="AB170" s="3">
        <f t="shared" si="106"/>
        <v>33.035714285714285</v>
      </c>
      <c r="AC170">
        <v>17</v>
      </c>
      <c r="AD170" s="3">
        <f t="shared" si="107"/>
        <v>2.1683673469387754</v>
      </c>
      <c r="AE170">
        <v>69</v>
      </c>
      <c r="AF170" s="3">
        <f t="shared" si="108"/>
        <v>8.8010204081632661</v>
      </c>
      <c r="AG170">
        <v>61</v>
      </c>
      <c r="AH170" s="3">
        <f t="shared" si="109"/>
        <v>7.7806122448979593</v>
      </c>
      <c r="AI170">
        <v>182</v>
      </c>
      <c r="AJ170" s="3">
        <f t="shared" si="110"/>
        <v>23.214285714285715</v>
      </c>
      <c r="AK170">
        <v>62</v>
      </c>
      <c r="AL170" s="3">
        <f t="shared" si="111"/>
        <v>7.908163265306122</v>
      </c>
      <c r="AM170">
        <v>23</v>
      </c>
      <c r="AN170" s="3">
        <f t="shared" si="112"/>
        <v>2.9336734693877551</v>
      </c>
      <c r="AO170">
        <v>2</v>
      </c>
      <c r="AP170" s="3">
        <f t="shared" si="113"/>
        <v>0.25510204081632654</v>
      </c>
      <c r="AQ170">
        <v>21</v>
      </c>
      <c r="AR170" s="3">
        <f t="shared" si="114"/>
        <v>2.6785714285714284</v>
      </c>
      <c r="AS170">
        <v>14</v>
      </c>
      <c r="AT170" s="3">
        <f t="shared" si="115"/>
        <v>1.7857142857142858</v>
      </c>
      <c r="AU170">
        <v>1</v>
      </c>
      <c r="AV170" s="3">
        <f t="shared" si="116"/>
        <v>0.12755102040816327</v>
      </c>
      <c r="AW170">
        <v>6</v>
      </c>
      <c r="AX170" s="3">
        <f t="shared" si="117"/>
        <v>0.76530612244897955</v>
      </c>
      <c r="AY170">
        <v>10</v>
      </c>
      <c r="AZ170" s="3">
        <f t="shared" si="118"/>
        <v>1.2755102040816326</v>
      </c>
      <c r="BA170">
        <v>24</v>
      </c>
      <c r="BB170" s="3">
        <f t="shared" si="119"/>
        <v>3.0612244897959182</v>
      </c>
      <c r="BC170" t="s">
        <v>315</v>
      </c>
      <c r="BD170" t="s">
        <v>455</v>
      </c>
      <c r="BE170" s="1">
        <v>1</v>
      </c>
      <c r="BF170"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-44.804195804195757</v>
      </c>
      <c r="BG170" s="10">
        <f>2*(Дума_партии[[#This Row],[5. Всероссийская политическая партия "ЕДИНАЯ РОССИЯ"]]-(AB$203/100)*Дума_партии[[#This Row],[Число действительных избирательных бюллетеней]])</f>
        <v>-64.069999999999936</v>
      </c>
      <c r="BH170" s="10">
        <f>(Дума_партии[[#This Row],[Вброс]]+Дума_партии[[#This Row],[Перекладывание]])/2</f>
        <v>-54.437097902097847</v>
      </c>
    </row>
    <row r="171" spans="1:60" x14ac:dyDescent="0.4">
      <c r="A171" t="s">
        <v>49</v>
      </c>
      <c r="B171" t="s">
        <v>50</v>
      </c>
      <c r="C171" t="s">
        <v>51</v>
      </c>
      <c r="D171" t="s">
        <v>227</v>
      </c>
      <c r="E171" t="s">
        <v>299</v>
      </c>
      <c r="F171" s="8">
        <f t="shared" ca="1" si="100"/>
        <v>2046</v>
      </c>
      <c r="G171" t="s">
        <v>357</v>
      </c>
      <c r="H171" s="1" t="str">
        <f>LEFT(Дума_партии[[#This Row],[tik]],4)&amp;"."&amp;IF(ISNUMBER(VALUE(RIGHT(Дума_партии[[#This Row],[tik]]))),RIGHT(Дума_партии[[#This Row],[tik]]),"")</f>
        <v>Один.2</v>
      </c>
      <c r="I171">
        <v>749</v>
      </c>
      <c r="J171" s="8">
        <f>Дума_партии[[#This Row],[Число избирателей, внесенных в список избирателей на момент окончания голосования]]</f>
        <v>749</v>
      </c>
      <c r="K171">
        <v>600</v>
      </c>
      <c r="L171">
        <v>0</v>
      </c>
      <c r="M171">
        <v>161</v>
      </c>
      <c r="N171">
        <v>8</v>
      </c>
      <c r="O171" s="3">
        <f t="shared" si="101"/>
        <v>22.563417890520693</v>
      </c>
      <c r="P171" s="3">
        <f t="shared" si="102"/>
        <v>1.0680907877169559</v>
      </c>
      <c r="Q171">
        <v>431</v>
      </c>
      <c r="R171">
        <v>8</v>
      </c>
      <c r="S171">
        <v>153</v>
      </c>
      <c r="T171" s="1">
        <f t="shared" si="103"/>
        <v>161</v>
      </c>
      <c r="U171" s="3">
        <f t="shared" si="104"/>
        <v>4.9689440993788816</v>
      </c>
      <c r="V171">
        <v>2</v>
      </c>
      <c r="W171" s="3">
        <f t="shared" si="105"/>
        <v>1.2422360248447204</v>
      </c>
      <c r="X171">
        <v>159</v>
      </c>
      <c r="Y171">
        <v>0</v>
      </c>
      <c r="Z171">
        <v>0</v>
      </c>
      <c r="AA171">
        <v>57</v>
      </c>
      <c r="AB171" s="3">
        <f t="shared" si="106"/>
        <v>35.403726708074537</v>
      </c>
      <c r="AC171">
        <v>5</v>
      </c>
      <c r="AD171" s="3">
        <f t="shared" si="107"/>
        <v>3.1055900621118013</v>
      </c>
      <c r="AE171">
        <v>3</v>
      </c>
      <c r="AF171" s="3">
        <f t="shared" si="108"/>
        <v>1.8633540372670807</v>
      </c>
      <c r="AG171">
        <v>15</v>
      </c>
      <c r="AH171" s="3">
        <f t="shared" si="109"/>
        <v>9.316770186335404</v>
      </c>
      <c r="AI171">
        <v>41</v>
      </c>
      <c r="AJ171" s="3">
        <f t="shared" si="110"/>
        <v>25.465838509316772</v>
      </c>
      <c r="AK171">
        <v>19</v>
      </c>
      <c r="AL171" s="3">
        <f t="shared" si="111"/>
        <v>11.801242236024844</v>
      </c>
      <c r="AM171">
        <v>5</v>
      </c>
      <c r="AN171" s="3">
        <f t="shared" si="112"/>
        <v>3.1055900621118013</v>
      </c>
      <c r="AO171">
        <v>4</v>
      </c>
      <c r="AP171" s="3">
        <f t="shared" si="113"/>
        <v>2.4844720496894408</v>
      </c>
      <c r="AQ171">
        <v>2</v>
      </c>
      <c r="AR171" s="3">
        <f t="shared" si="114"/>
        <v>1.2422360248447204</v>
      </c>
      <c r="AS171">
        <v>5</v>
      </c>
      <c r="AT171" s="3">
        <f t="shared" si="115"/>
        <v>3.1055900621118013</v>
      </c>
      <c r="AU171">
        <v>0</v>
      </c>
      <c r="AV171" s="3">
        <f t="shared" si="116"/>
        <v>0</v>
      </c>
      <c r="AW171">
        <v>2</v>
      </c>
      <c r="AX171" s="3">
        <f t="shared" si="117"/>
        <v>1.2422360248447204</v>
      </c>
      <c r="AY171">
        <v>1</v>
      </c>
      <c r="AZ171" s="3">
        <f t="shared" si="118"/>
        <v>0.6211180124223602</v>
      </c>
      <c r="BA171">
        <v>0</v>
      </c>
      <c r="BB171" s="3">
        <f t="shared" si="119"/>
        <v>0</v>
      </c>
      <c r="BC171" t="s">
        <v>315</v>
      </c>
      <c r="BD171" s="72">
        <v>2017</v>
      </c>
      <c r="BE171" s="1"/>
      <c r="BF171"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-6.0349650349650261</v>
      </c>
      <c r="BG171" s="10">
        <f>2*(Дума_партии[[#This Row],[5. Всероссийская политическая партия "ЕДИНАЯ РОССИЯ"]]-(AB$203/100)*Дума_партии[[#This Row],[Число действительных избирательных бюллетеней]])</f>
        <v>-8.6299999999999955</v>
      </c>
      <c r="BH171" s="10">
        <f>(Дума_партии[[#This Row],[Вброс]]+Дума_партии[[#This Row],[Перекладывание]])/2</f>
        <v>-7.3324825174825108</v>
      </c>
    </row>
    <row r="172" spans="1:60" x14ac:dyDescent="0.4">
      <c r="A172" t="s">
        <v>49</v>
      </c>
      <c r="B172" t="s">
        <v>50</v>
      </c>
      <c r="C172" t="s">
        <v>51</v>
      </c>
      <c r="D172" t="s">
        <v>227</v>
      </c>
      <c r="E172" t="s">
        <v>300</v>
      </c>
      <c r="F172" s="8">
        <f t="shared" ca="1" si="100"/>
        <v>2047</v>
      </c>
      <c r="G172" t="s">
        <v>358</v>
      </c>
      <c r="H172" s="1" t="str">
        <f>LEFT(Дума_партии[[#This Row],[tik]],4)&amp;"."&amp;IF(ISNUMBER(VALUE(RIGHT(Дума_партии[[#This Row],[tik]]))),RIGHT(Дума_партии[[#This Row],[tik]]),"")</f>
        <v>Один.2</v>
      </c>
      <c r="I172">
        <v>2663</v>
      </c>
      <c r="J172" s="8">
        <f>Дума_партии[[#This Row],[Число избирателей, внесенных в список избирателей на момент окончания голосования]]</f>
        <v>2663</v>
      </c>
      <c r="K172">
        <v>2000</v>
      </c>
      <c r="L172">
        <v>0</v>
      </c>
      <c r="M172">
        <v>570</v>
      </c>
      <c r="N172">
        <v>40</v>
      </c>
      <c r="O172" s="3">
        <f t="shared" si="101"/>
        <v>22.906496432594817</v>
      </c>
      <c r="P172" s="3">
        <f t="shared" si="102"/>
        <v>1.5020653398422832</v>
      </c>
      <c r="Q172">
        <v>1390</v>
      </c>
      <c r="R172">
        <v>40</v>
      </c>
      <c r="S172">
        <v>570</v>
      </c>
      <c r="T172" s="1">
        <f t="shared" si="103"/>
        <v>610</v>
      </c>
      <c r="U172" s="3">
        <f t="shared" si="104"/>
        <v>6.557377049180328</v>
      </c>
      <c r="V172">
        <v>20</v>
      </c>
      <c r="W172" s="3">
        <f t="shared" si="105"/>
        <v>3.278688524590164</v>
      </c>
      <c r="X172">
        <v>590</v>
      </c>
      <c r="Y172">
        <v>0</v>
      </c>
      <c r="Z172">
        <v>0</v>
      </c>
      <c r="AA172">
        <v>203</v>
      </c>
      <c r="AB172" s="3">
        <f t="shared" si="106"/>
        <v>33.278688524590166</v>
      </c>
      <c r="AC172">
        <v>12</v>
      </c>
      <c r="AD172" s="3">
        <f t="shared" si="107"/>
        <v>1.9672131147540983</v>
      </c>
      <c r="AE172">
        <v>41</v>
      </c>
      <c r="AF172" s="3">
        <f t="shared" si="108"/>
        <v>6.721311475409836</v>
      </c>
      <c r="AG172">
        <v>55</v>
      </c>
      <c r="AH172" s="3">
        <f t="shared" si="109"/>
        <v>9.0163934426229506</v>
      </c>
      <c r="AI172">
        <v>143</v>
      </c>
      <c r="AJ172" s="3">
        <f t="shared" si="110"/>
        <v>23.442622950819672</v>
      </c>
      <c r="AK172">
        <v>49</v>
      </c>
      <c r="AL172" s="3">
        <f t="shared" si="111"/>
        <v>8.0327868852459012</v>
      </c>
      <c r="AM172">
        <v>29</v>
      </c>
      <c r="AN172" s="3">
        <f t="shared" si="112"/>
        <v>4.7540983606557381</v>
      </c>
      <c r="AO172">
        <v>11</v>
      </c>
      <c r="AP172" s="3">
        <f t="shared" si="113"/>
        <v>1.8032786885245902</v>
      </c>
      <c r="AQ172">
        <v>16</v>
      </c>
      <c r="AR172" s="3">
        <f t="shared" si="114"/>
        <v>2.622950819672131</v>
      </c>
      <c r="AS172">
        <v>8</v>
      </c>
      <c r="AT172" s="3">
        <f t="shared" si="115"/>
        <v>1.3114754098360655</v>
      </c>
      <c r="AU172">
        <v>2</v>
      </c>
      <c r="AV172" s="3">
        <f t="shared" si="116"/>
        <v>0.32786885245901637</v>
      </c>
      <c r="AW172">
        <v>12</v>
      </c>
      <c r="AX172" s="3">
        <f t="shared" si="117"/>
        <v>1.9672131147540983</v>
      </c>
      <c r="AY172">
        <v>1</v>
      </c>
      <c r="AZ172" s="3">
        <f t="shared" si="118"/>
        <v>0.16393442622950818</v>
      </c>
      <c r="BA172">
        <v>8</v>
      </c>
      <c r="BB172" s="3">
        <f t="shared" si="119"/>
        <v>1.3114754098360655</v>
      </c>
      <c r="BC172" t="s">
        <v>315</v>
      </c>
      <c r="BD172" t="s">
        <v>455</v>
      </c>
      <c r="BE172" s="1">
        <v>1</v>
      </c>
      <c r="BF172"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-35.174825174825145</v>
      </c>
      <c r="BG172" s="10">
        <f>2*(Дума_партии[[#This Row],[5. Всероссийская политическая партия "ЕДИНАЯ РОССИЯ"]]-(AB$203/100)*Дума_партии[[#This Row],[Число действительных избирательных бюллетеней]])</f>
        <v>-50.299999999999955</v>
      </c>
      <c r="BH172" s="10">
        <f>(Дума_партии[[#This Row],[Вброс]]+Дума_партии[[#This Row],[Перекладывание]])/2</f>
        <v>-42.73741258741255</v>
      </c>
    </row>
    <row r="173" spans="1:60" x14ac:dyDescent="0.4">
      <c r="A173" t="s">
        <v>49</v>
      </c>
      <c r="B173" t="s">
        <v>50</v>
      </c>
      <c r="C173" t="s">
        <v>51</v>
      </c>
      <c r="D173" t="s">
        <v>227</v>
      </c>
      <c r="E173" t="s">
        <v>301</v>
      </c>
      <c r="F173" s="8">
        <f t="shared" ca="1" si="100"/>
        <v>2070</v>
      </c>
      <c r="G173" t="s">
        <v>359</v>
      </c>
      <c r="H173" s="1" t="str">
        <f>LEFT(Дума_партии[[#This Row],[tik]],4)&amp;"."&amp;IF(ISNUMBER(VALUE(RIGHT(Дума_партии[[#This Row],[tik]]))),RIGHT(Дума_партии[[#This Row],[tik]]),"")</f>
        <v>Один.2</v>
      </c>
      <c r="I173">
        <v>1277</v>
      </c>
      <c r="J173" s="8">
        <f>Дума_партии[[#This Row],[Число избирателей, внесенных в список избирателей на момент окончания голосования]]</f>
        <v>1277</v>
      </c>
      <c r="K173">
        <v>1000</v>
      </c>
      <c r="L173">
        <v>0</v>
      </c>
      <c r="M173">
        <v>490</v>
      </c>
      <c r="N173">
        <v>53</v>
      </c>
      <c r="O173" s="3">
        <f t="shared" si="101"/>
        <v>42.521534847298355</v>
      </c>
      <c r="P173" s="3">
        <f t="shared" si="102"/>
        <v>4.1503523884103366</v>
      </c>
      <c r="Q173">
        <v>457</v>
      </c>
      <c r="R173">
        <v>53</v>
      </c>
      <c r="S173">
        <v>490</v>
      </c>
      <c r="T173" s="1">
        <f t="shared" si="103"/>
        <v>543</v>
      </c>
      <c r="U173" s="3">
        <f t="shared" si="104"/>
        <v>9.7605893186003687</v>
      </c>
      <c r="V173">
        <v>24</v>
      </c>
      <c r="W173" s="3">
        <f t="shared" si="105"/>
        <v>4.4198895027624312</v>
      </c>
      <c r="X173">
        <v>519</v>
      </c>
      <c r="Y173">
        <v>0</v>
      </c>
      <c r="Z173">
        <v>0</v>
      </c>
      <c r="AA173">
        <v>109</v>
      </c>
      <c r="AB173" s="3">
        <f t="shared" si="106"/>
        <v>20.073664825046041</v>
      </c>
      <c r="AC173">
        <v>11</v>
      </c>
      <c r="AD173" s="3">
        <f t="shared" si="107"/>
        <v>2.0257826887661143</v>
      </c>
      <c r="AE173">
        <v>31</v>
      </c>
      <c r="AF173" s="3">
        <f t="shared" si="108"/>
        <v>5.70902394106814</v>
      </c>
      <c r="AG173">
        <v>23</v>
      </c>
      <c r="AH173" s="3">
        <f t="shared" si="109"/>
        <v>4.2357274401473299</v>
      </c>
      <c r="AI173">
        <v>229</v>
      </c>
      <c r="AJ173" s="3">
        <f t="shared" si="110"/>
        <v>42.173112338858196</v>
      </c>
      <c r="AK173">
        <v>48</v>
      </c>
      <c r="AL173" s="3">
        <f t="shared" si="111"/>
        <v>8.8397790055248624</v>
      </c>
      <c r="AM173">
        <v>15</v>
      </c>
      <c r="AN173" s="3">
        <f t="shared" si="112"/>
        <v>2.7624309392265194</v>
      </c>
      <c r="AO173">
        <v>4</v>
      </c>
      <c r="AP173" s="3">
        <f t="shared" si="113"/>
        <v>0.73664825046040516</v>
      </c>
      <c r="AQ173">
        <v>5</v>
      </c>
      <c r="AR173" s="3">
        <f t="shared" si="114"/>
        <v>0.92081031307550643</v>
      </c>
      <c r="AS173">
        <v>8</v>
      </c>
      <c r="AT173" s="3">
        <f t="shared" si="115"/>
        <v>1.4732965009208103</v>
      </c>
      <c r="AU173">
        <v>2</v>
      </c>
      <c r="AV173" s="3">
        <f t="shared" si="116"/>
        <v>0.36832412523020258</v>
      </c>
      <c r="AW173">
        <v>6</v>
      </c>
      <c r="AX173" s="3">
        <f t="shared" si="117"/>
        <v>1.1049723756906078</v>
      </c>
      <c r="AY173">
        <v>4</v>
      </c>
      <c r="AZ173" s="3">
        <f t="shared" si="118"/>
        <v>0.73664825046040516</v>
      </c>
      <c r="BA173">
        <v>24</v>
      </c>
      <c r="BB173" s="3">
        <f t="shared" si="119"/>
        <v>4.4198895027624312</v>
      </c>
      <c r="BC173" t="s">
        <v>315</v>
      </c>
      <c r="BD173" s="72">
        <v>2017</v>
      </c>
      <c r="BE173" s="1"/>
      <c r="BF173"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113.40559440559443</v>
      </c>
      <c r="BG173" s="10">
        <f>2*(Дума_партии[[#This Row],[5. Всероссийская политическая партия "ЕДИНАЯ РОССИЯ"]]-(AB$203/100)*Дума_партии[[#This Row],[Число действительных избирательных бюллетеней]])</f>
        <v>162.17000000000002</v>
      </c>
      <c r="BH173" s="10">
        <f>(Дума_партии[[#This Row],[Вброс]]+Дума_партии[[#This Row],[Перекладывание]])/2</f>
        <v>137.78779720279721</v>
      </c>
    </row>
    <row r="174" spans="1:60" x14ac:dyDescent="0.4">
      <c r="A174" t="s">
        <v>49</v>
      </c>
      <c r="B174" t="s">
        <v>50</v>
      </c>
      <c r="C174" t="s">
        <v>51</v>
      </c>
      <c r="D174" t="s">
        <v>227</v>
      </c>
      <c r="E174" t="s">
        <v>302</v>
      </c>
      <c r="F174" s="8">
        <f t="shared" ca="1" si="100"/>
        <v>2071</v>
      </c>
      <c r="G174" t="s">
        <v>359</v>
      </c>
      <c r="H174" s="1" t="str">
        <f>LEFT(Дума_партии[[#This Row],[tik]],4)&amp;"."&amp;IF(ISNUMBER(VALUE(RIGHT(Дума_партии[[#This Row],[tik]]))),RIGHT(Дума_партии[[#This Row],[tik]]),"")</f>
        <v>Один.2</v>
      </c>
      <c r="I174">
        <v>1083</v>
      </c>
      <c r="J174" s="8">
        <f>Дума_партии[[#This Row],[Число избирателей, внесенных в список избирателей на момент окончания голосования]]</f>
        <v>1083</v>
      </c>
      <c r="K174">
        <v>900</v>
      </c>
      <c r="L174">
        <v>0</v>
      </c>
      <c r="M174">
        <v>279</v>
      </c>
      <c r="N174">
        <v>92</v>
      </c>
      <c r="O174" s="3">
        <f t="shared" si="101"/>
        <v>34.256694367497694</v>
      </c>
      <c r="P174" s="3">
        <f t="shared" si="102"/>
        <v>8.4949215143120966</v>
      </c>
      <c r="Q174">
        <v>529</v>
      </c>
      <c r="R174">
        <v>92</v>
      </c>
      <c r="S174">
        <v>279</v>
      </c>
      <c r="T174" s="1">
        <f t="shared" si="103"/>
        <v>371</v>
      </c>
      <c r="U174" s="3">
        <f t="shared" si="104"/>
        <v>24.797843665768195</v>
      </c>
      <c r="V174">
        <v>7</v>
      </c>
      <c r="W174" s="3">
        <f t="shared" si="105"/>
        <v>1.8867924528301887</v>
      </c>
      <c r="X174">
        <v>364</v>
      </c>
      <c r="Y174">
        <v>0</v>
      </c>
      <c r="Z174">
        <v>0</v>
      </c>
      <c r="AA174">
        <v>52</v>
      </c>
      <c r="AB174" s="3">
        <f t="shared" si="106"/>
        <v>14.016172506738544</v>
      </c>
      <c r="AC174">
        <v>11</v>
      </c>
      <c r="AD174" s="3">
        <f t="shared" si="107"/>
        <v>2.9649595687331538</v>
      </c>
      <c r="AE174">
        <v>20</v>
      </c>
      <c r="AF174" s="3">
        <f t="shared" si="108"/>
        <v>5.3908355795148246</v>
      </c>
      <c r="AG174">
        <v>26</v>
      </c>
      <c r="AH174" s="3">
        <f t="shared" si="109"/>
        <v>7.0080862533692718</v>
      </c>
      <c r="AI174">
        <v>173</v>
      </c>
      <c r="AJ174" s="3">
        <f t="shared" si="110"/>
        <v>46.630727762803232</v>
      </c>
      <c r="AK174">
        <v>27</v>
      </c>
      <c r="AL174" s="3">
        <f t="shared" si="111"/>
        <v>7.2776280323450138</v>
      </c>
      <c r="AM174">
        <v>25</v>
      </c>
      <c r="AN174" s="3">
        <f t="shared" si="112"/>
        <v>6.7385444743935308</v>
      </c>
      <c r="AO174">
        <v>4</v>
      </c>
      <c r="AP174" s="3">
        <f t="shared" si="113"/>
        <v>1.0781671159029649</v>
      </c>
      <c r="AQ174">
        <v>7</v>
      </c>
      <c r="AR174" s="3">
        <f t="shared" si="114"/>
        <v>1.8867924528301887</v>
      </c>
      <c r="AS174">
        <v>9</v>
      </c>
      <c r="AT174" s="3">
        <f t="shared" si="115"/>
        <v>2.4258760107816713</v>
      </c>
      <c r="AU174">
        <v>1</v>
      </c>
      <c r="AV174" s="3">
        <f t="shared" si="116"/>
        <v>0.26954177897574122</v>
      </c>
      <c r="AW174">
        <v>2</v>
      </c>
      <c r="AX174" s="3">
        <f t="shared" si="117"/>
        <v>0.53908355795148244</v>
      </c>
      <c r="AY174">
        <v>3</v>
      </c>
      <c r="AZ174" s="3">
        <f t="shared" si="118"/>
        <v>0.80862533692722371</v>
      </c>
      <c r="BA174">
        <v>4</v>
      </c>
      <c r="BB174" s="3">
        <f t="shared" si="119"/>
        <v>1.0781671159029649</v>
      </c>
      <c r="BC174" t="s">
        <v>315</v>
      </c>
      <c r="BD174" s="72">
        <v>2017</v>
      </c>
      <c r="BE174" s="1"/>
      <c r="BF174"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96.867132867132881</v>
      </c>
      <c r="BG174" s="10">
        <f>2*(Дума_партии[[#This Row],[5. Всероссийская политическая партия "ЕДИНАЯ РОССИЯ"]]-(AB$203/100)*Дума_партии[[#This Row],[Число действительных избирательных бюллетеней]])</f>
        <v>138.52000000000001</v>
      </c>
      <c r="BH174" s="10">
        <f>(Дума_партии[[#This Row],[Вброс]]+Дума_партии[[#This Row],[Перекладывание]])/2</f>
        <v>117.69356643356645</v>
      </c>
    </row>
    <row r="175" spans="1:60" x14ac:dyDescent="0.4">
      <c r="A175" t="s">
        <v>49</v>
      </c>
      <c r="B175" t="s">
        <v>50</v>
      </c>
      <c r="C175" t="s">
        <v>51</v>
      </c>
      <c r="D175" t="s">
        <v>227</v>
      </c>
      <c r="E175" t="s">
        <v>303</v>
      </c>
      <c r="F175" s="8">
        <f t="shared" ca="1" si="100"/>
        <v>2072</v>
      </c>
      <c r="G175" t="s">
        <v>359</v>
      </c>
      <c r="H175" s="1" t="str">
        <f>LEFT(Дума_партии[[#This Row],[tik]],4)&amp;"."&amp;IF(ISNUMBER(VALUE(RIGHT(Дума_партии[[#This Row],[tik]]))),RIGHT(Дума_партии[[#This Row],[tik]]),"")</f>
        <v>Один.2</v>
      </c>
      <c r="I175">
        <v>1232</v>
      </c>
      <c r="J175" s="8">
        <f>Дума_партии[[#This Row],[Число избирателей, внесенных в список избирателей на момент окончания голосования]]</f>
        <v>1232</v>
      </c>
      <c r="K175">
        <v>1000</v>
      </c>
      <c r="L175">
        <v>0</v>
      </c>
      <c r="M175">
        <v>382</v>
      </c>
      <c r="N175">
        <v>5</v>
      </c>
      <c r="O175" s="3">
        <f t="shared" si="101"/>
        <v>31.412337662337663</v>
      </c>
      <c r="P175" s="3">
        <f t="shared" si="102"/>
        <v>0.40584415584415584</v>
      </c>
      <c r="Q175">
        <v>613</v>
      </c>
      <c r="R175">
        <v>5</v>
      </c>
      <c r="S175">
        <v>382</v>
      </c>
      <c r="T175" s="1">
        <f t="shared" si="103"/>
        <v>387</v>
      </c>
      <c r="U175" s="3">
        <f t="shared" si="104"/>
        <v>1.2919896640826873</v>
      </c>
      <c r="V175">
        <v>8</v>
      </c>
      <c r="W175" s="3">
        <f t="shared" si="105"/>
        <v>2.0671834625322996</v>
      </c>
      <c r="X175">
        <v>379</v>
      </c>
      <c r="Y175">
        <v>0</v>
      </c>
      <c r="Z175">
        <v>0</v>
      </c>
      <c r="AA175">
        <v>109</v>
      </c>
      <c r="AB175" s="3">
        <f t="shared" si="106"/>
        <v>28.165374677002585</v>
      </c>
      <c r="AC175">
        <v>12</v>
      </c>
      <c r="AD175" s="3">
        <f t="shared" si="107"/>
        <v>3.1007751937984498</v>
      </c>
      <c r="AE175">
        <v>31</v>
      </c>
      <c r="AF175" s="3">
        <f t="shared" si="108"/>
        <v>8.0103359173126609</v>
      </c>
      <c r="AG175">
        <v>29</v>
      </c>
      <c r="AH175" s="3">
        <f t="shared" si="109"/>
        <v>7.4935400516795863</v>
      </c>
      <c r="AI175">
        <v>101</v>
      </c>
      <c r="AJ175" s="3">
        <f t="shared" si="110"/>
        <v>26.098191214470283</v>
      </c>
      <c r="AK175">
        <v>38</v>
      </c>
      <c r="AL175" s="3">
        <f t="shared" si="111"/>
        <v>9.819121447028424</v>
      </c>
      <c r="AM175">
        <v>10</v>
      </c>
      <c r="AN175" s="3">
        <f t="shared" si="112"/>
        <v>2.5839793281653747</v>
      </c>
      <c r="AO175">
        <v>1</v>
      </c>
      <c r="AP175" s="3">
        <f t="shared" si="113"/>
        <v>0.25839793281653745</v>
      </c>
      <c r="AQ175">
        <v>12</v>
      </c>
      <c r="AR175" s="3">
        <f t="shared" si="114"/>
        <v>3.1007751937984498</v>
      </c>
      <c r="AS175">
        <v>12</v>
      </c>
      <c r="AT175" s="3">
        <f t="shared" si="115"/>
        <v>3.1007751937984498</v>
      </c>
      <c r="AU175">
        <v>2</v>
      </c>
      <c r="AV175" s="3">
        <f t="shared" si="116"/>
        <v>0.51679586563307489</v>
      </c>
      <c r="AW175">
        <v>5</v>
      </c>
      <c r="AX175" s="3">
        <f t="shared" si="117"/>
        <v>1.2919896640826873</v>
      </c>
      <c r="AY175">
        <v>3</v>
      </c>
      <c r="AZ175" s="3">
        <f t="shared" si="118"/>
        <v>0.77519379844961245</v>
      </c>
      <c r="BA175">
        <v>14</v>
      </c>
      <c r="BB175" s="3">
        <f t="shared" si="119"/>
        <v>3.6175710594315245</v>
      </c>
      <c r="BC175" t="s">
        <v>315</v>
      </c>
      <c r="BD175" s="72">
        <v>2017</v>
      </c>
      <c r="BE175" s="1"/>
      <c r="BF175"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-9.8111888111887993</v>
      </c>
      <c r="BG175" s="10">
        <f>2*(Дума_партии[[#This Row],[5. Всероссийская политическая партия "ЕДИНАЯ РОССИЯ"]]-(AB$203/100)*Дума_партии[[#This Row],[Число действительных избирательных бюллетеней]])</f>
        <v>-14.029999999999973</v>
      </c>
      <c r="BH175" s="10">
        <f>(Дума_партии[[#This Row],[Вброс]]+Дума_партии[[#This Row],[Перекладывание]])/2</f>
        <v>-11.920594405594386</v>
      </c>
    </row>
    <row r="176" spans="1:60" x14ac:dyDescent="0.4">
      <c r="A176" t="s">
        <v>49</v>
      </c>
      <c r="B176" t="s">
        <v>50</v>
      </c>
      <c r="C176" t="s">
        <v>51</v>
      </c>
      <c r="D176" t="s">
        <v>227</v>
      </c>
      <c r="E176" t="s">
        <v>304</v>
      </c>
      <c r="F176" s="8">
        <f t="shared" ca="1" si="100"/>
        <v>2073</v>
      </c>
      <c r="G176" t="s">
        <v>359</v>
      </c>
      <c r="H176" s="1" t="str">
        <f>LEFT(Дума_партии[[#This Row],[tik]],4)&amp;"."&amp;IF(ISNUMBER(VALUE(RIGHT(Дума_партии[[#This Row],[tik]]))),RIGHT(Дума_партии[[#This Row],[tik]]),"")</f>
        <v>Один.2</v>
      </c>
      <c r="I176">
        <v>1032</v>
      </c>
      <c r="J176" s="8">
        <f>Дума_партии[[#This Row],[Число избирателей, внесенных в список избирателей на момент окончания голосования]]</f>
        <v>1032</v>
      </c>
      <c r="K176">
        <v>900</v>
      </c>
      <c r="L176">
        <v>0</v>
      </c>
      <c r="M176">
        <v>313</v>
      </c>
      <c r="N176">
        <v>75</v>
      </c>
      <c r="O176" s="3">
        <f t="shared" si="101"/>
        <v>37.596899224806201</v>
      </c>
      <c r="P176" s="3">
        <f t="shared" si="102"/>
        <v>7.2674418604651159</v>
      </c>
      <c r="Q176">
        <v>512</v>
      </c>
      <c r="R176">
        <v>75</v>
      </c>
      <c r="S176">
        <v>313</v>
      </c>
      <c r="T176" s="1">
        <f t="shared" si="103"/>
        <v>388</v>
      </c>
      <c r="U176" s="3">
        <f t="shared" si="104"/>
        <v>19.329896907216494</v>
      </c>
      <c r="V176">
        <v>7</v>
      </c>
      <c r="W176" s="3">
        <f t="shared" si="105"/>
        <v>1.8041237113402062</v>
      </c>
      <c r="X176">
        <v>381</v>
      </c>
      <c r="Y176">
        <v>0</v>
      </c>
      <c r="Z176">
        <v>0</v>
      </c>
      <c r="AA176">
        <v>105</v>
      </c>
      <c r="AB176" s="3">
        <f t="shared" si="106"/>
        <v>27.061855670103093</v>
      </c>
      <c r="AC176">
        <v>15</v>
      </c>
      <c r="AD176" s="3">
        <f t="shared" si="107"/>
        <v>3.865979381443299</v>
      </c>
      <c r="AE176">
        <v>23</v>
      </c>
      <c r="AF176" s="3">
        <f t="shared" si="108"/>
        <v>5.927835051546392</v>
      </c>
      <c r="AG176">
        <v>22</v>
      </c>
      <c r="AH176" s="3">
        <f t="shared" si="109"/>
        <v>5.6701030927835054</v>
      </c>
      <c r="AI176">
        <v>126</v>
      </c>
      <c r="AJ176" s="3">
        <f t="shared" si="110"/>
        <v>32.47422680412371</v>
      </c>
      <c r="AK176">
        <v>35</v>
      </c>
      <c r="AL176" s="3">
        <f t="shared" si="111"/>
        <v>9.0206185567010309</v>
      </c>
      <c r="AM176">
        <v>11</v>
      </c>
      <c r="AN176" s="3">
        <f t="shared" si="112"/>
        <v>2.8350515463917527</v>
      </c>
      <c r="AO176">
        <v>1</v>
      </c>
      <c r="AP176" s="3">
        <f t="shared" si="113"/>
        <v>0.25773195876288657</v>
      </c>
      <c r="AQ176">
        <v>8</v>
      </c>
      <c r="AR176" s="3">
        <f t="shared" si="114"/>
        <v>2.0618556701030926</v>
      </c>
      <c r="AS176">
        <v>9</v>
      </c>
      <c r="AT176" s="3">
        <f t="shared" si="115"/>
        <v>2.3195876288659796</v>
      </c>
      <c r="AU176">
        <v>3</v>
      </c>
      <c r="AV176" s="3">
        <f t="shared" si="116"/>
        <v>0.77319587628865982</v>
      </c>
      <c r="AW176">
        <v>3</v>
      </c>
      <c r="AX176" s="3">
        <f t="shared" si="117"/>
        <v>0.77319587628865982</v>
      </c>
      <c r="AY176">
        <v>8</v>
      </c>
      <c r="AZ176" s="3">
        <f t="shared" si="118"/>
        <v>2.0618556701030926</v>
      </c>
      <c r="BA176">
        <v>12</v>
      </c>
      <c r="BB176" s="3">
        <f t="shared" si="119"/>
        <v>3.0927835051546393</v>
      </c>
      <c r="BC176" t="s">
        <v>315</v>
      </c>
      <c r="BD176" s="72">
        <v>2017</v>
      </c>
      <c r="BE176" s="1"/>
      <c r="BF176"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24.356643356643374</v>
      </c>
      <c r="BG176" s="10">
        <f>2*(Дума_партии[[#This Row],[5. Всероссийская политическая партия "ЕДИНАЯ РОССИЯ"]]-(AB$203/100)*Дума_партии[[#This Row],[Число действительных избирательных бюллетеней]])</f>
        <v>34.830000000000013</v>
      </c>
      <c r="BH176" s="10">
        <f>(Дума_партии[[#This Row],[Вброс]]+Дума_партии[[#This Row],[Перекладывание]])/2</f>
        <v>29.593321678321693</v>
      </c>
    </row>
    <row r="177" spans="1:60" x14ac:dyDescent="0.4">
      <c r="A177" t="s">
        <v>49</v>
      </c>
      <c r="B177" t="s">
        <v>50</v>
      </c>
      <c r="C177" t="s">
        <v>51</v>
      </c>
      <c r="D177" t="s">
        <v>227</v>
      </c>
      <c r="E177" t="s">
        <v>305</v>
      </c>
      <c r="F177" s="8">
        <f t="shared" ca="1" si="100"/>
        <v>3940</v>
      </c>
      <c r="G177" t="s">
        <v>360</v>
      </c>
      <c r="H177" s="1" t="str">
        <f>LEFT(Дума_партии[[#This Row],[tik]],4)&amp;"."&amp;IF(ISNUMBER(VALUE(RIGHT(Дума_партии[[#This Row],[tik]]))),RIGHT(Дума_партии[[#This Row],[tik]]),"")</f>
        <v>Один.2</v>
      </c>
      <c r="I177">
        <v>1715</v>
      </c>
      <c r="J177" s="8">
        <f>Дума_партии[[#This Row],[Число избирателей, внесенных в список избирателей на момент окончания голосования]]</f>
        <v>1715</v>
      </c>
      <c r="K177">
        <v>1500</v>
      </c>
      <c r="L177">
        <v>0</v>
      </c>
      <c r="M177">
        <v>540</v>
      </c>
      <c r="N177">
        <v>66</v>
      </c>
      <c r="O177" s="3">
        <f t="shared" si="101"/>
        <v>35.335276967930028</v>
      </c>
      <c r="P177" s="3">
        <f t="shared" si="102"/>
        <v>3.8483965014577262</v>
      </c>
      <c r="Q177">
        <v>894</v>
      </c>
      <c r="R177">
        <v>66</v>
      </c>
      <c r="S177">
        <v>540</v>
      </c>
      <c r="T177" s="1">
        <f t="shared" si="103"/>
        <v>606</v>
      </c>
      <c r="U177" s="3">
        <f t="shared" si="104"/>
        <v>10.891089108910892</v>
      </c>
      <c r="V177">
        <v>23</v>
      </c>
      <c r="W177" s="3">
        <f t="shared" si="105"/>
        <v>3.7953795379537953</v>
      </c>
      <c r="X177">
        <v>583</v>
      </c>
      <c r="Y177">
        <v>0</v>
      </c>
      <c r="Z177">
        <v>0</v>
      </c>
      <c r="AA177">
        <v>138</v>
      </c>
      <c r="AB177" s="3">
        <f t="shared" si="106"/>
        <v>22.772277227722771</v>
      </c>
      <c r="AC177">
        <v>12</v>
      </c>
      <c r="AD177" s="3">
        <f t="shared" si="107"/>
        <v>1.9801980198019802</v>
      </c>
      <c r="AE177">
        <v>44</v>
      </c>
      <c r="AF177" s="3">
        <f t="shared" si="108"/>
        <v>7.2607260726072607</v>
      </c>
      <c r="AG177">
        <v>35</v>
      </c>
      <c r="AH177" s="3">
        <f t="shared" si="109"/>
        <v>5.775577557755776</v>
      </c>
      <c r="AI177">
        <v>252</v>
      </c>
      <c r="AJ177" s="3">
        <f t="shared" si="110"/>
        <v>41.584158415841586</v>
      </c>
      <c r="AK177">
        <v>31</v>
      </c>
      <c r="AL177" s="3">
        <f t="shared" si="111"/>
        <v>5.1155115511551159</v>
      </c>
      <c r="AM177">
        <v>11</v>
      </c>
      <c r="AN177" s="3">
        <f t="shared" si="112"/>
        <v>1.8151815181518152</v>
      </c>
      <c r="AO177">
        <v>5</v>
      </c>
      <c r="AP177" s="3">
        <f t="shared" si="113"/>
        <v>0.82508250825082508</v>
      </c>
      <c r="AQ177">
        <v>14</v>
      </c>
      <c r="AR177" s="3">
        <f t="shared" si="114"/>
        <v>2.3102310231023102</v>
      </c>
      <c r="AS177">
        <v>9</v>
      </c>
      <c r="AT177" s="3">
        <f t="shared" si="115"/>
        <v>1.4851485148514851</v>
      </c>
      <c r="AU177">
        <v>1</v>
      </c>
      <c r="AV177" s="3">
        <f t="shared" si="116"/>
        <v>0.16501650165016502</v>
      </c>
      <c r="AW177">
        <v>6</v>
      </c>
      <c r="AX177" s="3">
        <f t="shared" si="117"/>
        <v>0.99009900990099009</v>
      </c>
      <c r="AY177">
        <v>7</v>
      </c>
      <c r="AZ177" s="3">
        <f t="shared" si="118"/>
        <v>1.1551155115511551</v>
      </c>
      <c r="BA177">
        <v>18</v>
      </c>
      <c r="BB177" s="3">
        <f t="shared" si="119"/>
        <v>2.9702970297029703</v>
      </c>
      <c r="BC177" t="s">
        <v>315</v>
      </c>
      <c r="BD177" s="72">
        <v>2017</v>
      </c>
      <c r="BE177" s="1"/>
      <c r="BF177"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120.0629370629371</v>
      </c>
      <c r="BG177" s="10">
        <f>2*(Дума_партии[[#This Row],[5. Всероссийская политическая партия "ЕДИНАЯ РОССИЯ"]]-(AB$203/100)*Дума_партии[[#This Row],[Число действительных избирательных бюллетеней]])</f>
        <v>171.69000000000005</v>
      </c>
      <c r="BH177" s="10">
        <f>(Дума_партии[[#This Row],[Вброс]]+Дума_партии[[#This Row],[Перекладывание]])/2</f>
        <v>145.87646853146856</v>
      </c>
    </row>
    <row r="178" spans="1:60" x14ac:dyDescent="0.4">
      <c r="A178" t="s">
        <v>49</v>
      </c>
      <c r="B178" t="s">
        <v>50</v>
      </c>
      <c r="C178" t="s">
        <v>51</v>
      </c>
      <c r="D178" t="s">
        <v>227</v>
      </c>
      <c r="E178" t="s">
        <v>306</v>
      </c>
      <c r="F178" s="8">
        <f t="shared" ca="1" si="100"/>
        <v>3941</v>
      </c>
      <c r="G178" t="s">
        <v>360</v>
      </c>
      <c r="H178" s="1" t="str">
        <f>LEFT(Дума_партии[[#This Row],[tik]],4)&amp;"."&amp;IF(ISNUMBER(VALUE(RIGHT(Дума_партии[[#This Row],[tik]]))),RIGHT(Дума_партии[[#This Row],[tik]]),"")</f>
        <v>Один.2</v>
      </c>
      <c r="I178">
        <v>1709</v>
      </c>
      <c r="J178" s="8">
        <f>Дума_партии[[#This Row],[Число избирателей, внесенных в список избирателей на момент окончания голосования]]</f>
        <v>1709</v>
      </c>
      <c r="K178">
        <v>1500</v>
      </c>
      <c r="L178">
        <v>0</v>
      </c>
      <c r="M178">
        <v>735</v>
      </c>
      <c r="N178">
        <v>112</v>
      </c>
      <c r="O178" s="3">
        <f t="shared" si="101"/>
        <v>49.561146869514339</v>
      </c>
      <c r="P178" s="3">
        <f t="shared" si="102"/>
        <v>6.5535400819192509</v>
      </c>
      <c r="Q178">
        <v>653</v>
      </c>
      <c r="R178">
        <v>112</v>
      </c>
      <c r="S178">
        <v>731</v>
      </c>
      <c r="T178" s="1">
        <f t="shared" si="103"/>
        <v>843</v>
      </c>
      <c r="U178" s="3">
        <f t="shared" si="104"/>
        <v>13.2858837485172</v>
      </c>
      <c r="V178">
        <v>11</v>
      </c>
      <c r="W178" s="3">
        <f t="shared" si="105"/>
        <v>1.3048635824436536</v>
      </c>
      <c r="X178">
        <v>832</v>
      </c>
      <c r="Y178">
        <v>0</v>
      </c>
      <c r="Z178">
        <v>0</v>
      </c>
      <c r="AA178">
        <v>216</v>
      </c>
      <c r="AB178" s="3">
        <f t="shared" si="106"/>
        <v>25.622775800711743</v>
      </c>
      <c r="AC178">
        <v>17</v>
      </c>
      <c r="AD178" s="3">
        <f t="shared" si="107"/>
        <v>2.0166073546856467</v>
      </c>
      <c r="AE178">
        <v>51</v>
      </c>
      <c r="AF178" s="3">
        <f t="shared" si="108"/>
        <v>6.0498220640569391</v>
      </c>
      <c r="AG178">
        <v>66</v>
      </c>
      <c r="AH178" s="3">
        <f t="shared" si="109"/>
        <v>7.8291814946619214</v>
      </c>
      <c r="AI178">
        <v>296</v>
      </c>
      <c r="AJ178" s="3">
        <f t="shared" si="110"/>
        <v>35.112692763938313</v>
      </c>
      <c r="AK178">
        <v>73</v>
      </c>
      <c r="AL178" s="3">
        <f t="shared" si="111"/>
        <v>8.6595492289442468</v>
      </c>
      <c r="AM178">
        <v>16</v>
      </c>
      <c r="AN178" s="3">
        <f t="shared" si="112"/>
        <v>1.8979833926453145</v>
      </c>
      <c r="AO178">
        <v>10</v>
      </c>
      <c r="AP178" s="3">
        <f t="shared" si="113"/>
        <v>1.1862396204033214</v>
      </c>
      <c r="AQ178">
        <v>13</v>
      </c>
      <c r="AR178" s="3">
        <f t="shared" si="114"/>
        <v>1.5421115065243178</v>
      </c>
      <c r="AS178">
        <v>19</v>
      </c>
      <c r="AT178" s="3">
        <f t="shared" si="115"/>
        <v>2.2538552787663106</v>
      </c>
      <c r="AU178">
        <v>1</v>
      </c>
      <c r="AV178" s="3">
        <f t="shared" si="116"/>
        <v>0.11862396204033215</v>
      </c>
      <c r="AW178">
        <v>11</v>
      </c>
      <c r="AX178" s="3">
        <f t="shared" si="117"/>
        <v>1.3048635824436536</v>
      </c>
      <c r="AY178">
        <v>18</v>
      </c>
      <c r="AZ178" s="3">
        <f t="shared" si="118"/>
        <v>2.1352313167259784</v>
      </c>
      <c r="BA178">
        <v>25</v>
      </c>
      <c r="BB178" s="3">
        <f t="shared" si="119"/>
        <v>2.9655990510083039</v>
      </c>
      <c r="BC178" t="s">
        <v>315</v>
      </c>
      <c r="BD178" s="72">
        <v>2017</v>
      </c>
      <c r="BE178" s="1"/>
      <c r="BF178"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82.349650349650375</v>
      </c>
      <c r="BG178" s="10">
        <f>2*(Дума_партии[[#This Row],[5. Всероссийская политическая партия "ЕДИНАЯ РОССИЯ"]]-(AB$203/100)*Дума_партии[[#This Row],[Число действительных избирательных бюллетеней]])</f>
        <v>117.76000000000005</v>
      </c>
      <c r="BH178" s="10">
        <f>(Дума_партии[[#This Row],[Вброс]]+Дума_партии[[#This Row],[Перекладывание]])/2</f>
        <v>100.05482517482521</v>
      </c>
    </row>
    <row r="179" spans="1:60" x14ac:dyDescent="0.4">
      <c r="A179" t="s">
        <v>49</v>
      </c>
      <c r="B179" t="s">
        <v>50</v>
      </c>
      <c r="C179" t="s">
        <v>51</v>
      </c>
      <c r="D179" t="s">
        <v>227</v>
      </c>
      <c r="E179" t="s">
        <v>307</v>
      </c>
      <c r="F179" s="8">
        <f t="shared" ca="1" si="100"/>
        <v>3943</v>
      </c>
      <c r="G179" t="s">
        <v>360</v>
      </c>
      <c r="H179" s="1" t="str">
        <f>LEFT(Дума_партии[[#This Row],[tik]],4)&amp;"."&amp;IF(ISNUMBER(VALUE(RIGHT(Дума_партии[[#This Row],[tik]]))),RIGHT(Дума_партии[[#This Row],[tik]]),"")</f>
        <v>Один.2</v>
      </c>
      <c r="I179">
        <v>2441</v>
      </c>
      <c r="J179" s="8">
        <f>Дума_партии[[#This Row],[Число избирателей, внесенных в список избирателей на момент окончания голосования]]</f>
        <v>2441</v>
      </c>
      <c r="K179">
        <v>2000</v>
      </c>
      <c r="L179">
        <v>0</v>
      </c>
      <c r="M179">
        <v>1572</v>
      </c>
      <c r="N179">
        <v>6</v>
      </c>
      <c r="O179" s="3">
        <f t="shared" si="101"/>
        <v>64.645637034002462</v>
      </c>
      <c r="P179" s="3">
        <f t="shared" si="102"/>
        <v>0.24580090126997131</v>
      </c>
      <c r="Q179">
        <v>422</v>
      </c>
      <c r="R179">
        <v>6</v>
      </c>
      <c r="S179">
        <v>1572</v>
      </c>
      <c r="T179" s="1">
        <f t="shared" si="103"/>
        <v>1578</v>
      </c>
      <c r="U179" s="3">
        <f t="shared" si="104"/>
        <v>0.38022813688212925</v>
      </c>
      <c r="V179">
        <v>11</v>
      </c>
      <c r="W179" s="3">
        <f t="shared" si="105"/>
        <v>0.69708491761723701</v>
      </c>
      <c r="X179">
        <v>1567</v>
      </c>
      <c r="Y179">
        <v>0</v>
      </c>
      <c r="Z179">
        <v>0</v>
      </c>
      <c r="AA179">
        <v>207</v>
      </c>
      <c r="AB179" s="3">
        <f t="shared" si="106"/>
        <v>13.117870722433461</v>
      </c>
      <c r="AC179">
        <v>14</v>
      </c>
      <c r="AD179" s="3">
        <f t="shared" si="107"/>
        <v>0.88719898605830161</v>
      </c>
      <c r="AE179">
        <v>49</v>
      </c>
      <c r="AF179" s="3">
        <f t="shared" si="108"/>
        <v>3.1051964512040557</v>
      </c>
      <c r="AG179">
        <v>63</v>
      </c>
      <c r="AH179" s="3">
        <f t="shared" si="109"/>
        <v>3.9923954372623576</v>
      </c>
      <c r="AI179">
        <v>1073</v>
      </c>
      <c r="AJ179" s="3">
        <f t="shared" si="110"/>
        <v>67.99746514575412</v>
      </c>
      <c r="AK179">
        <v>56</v>
      </c>
      <c r="AL179" s="3">
        <f t="shared" si="111"/>
        <v>3.5487959442332064</v>
      </c>
      <c r="AM179">
        <v>25</v>
      </c>
      <c r="AN179" s="3">
        <f t="shared" si="112"/>
        <v>1.5842839036755387</v>
      </c>
      <c r="AO179">
        <v>6</v>
      </c>
      <c r="AP179" s="3">
        <f t="shared" si="113"/>
        <v>0.38022813688212925</v>
      </c>
      <c r="AQ179">
        <v>12</v>
      </c>
      <c r="AR179" s="3">
        <f t="shared" si="114"/>
        <v>0.76045627376425851</v>
      </c>
      <c r="AS179">
        <v>5</v>
      </c>
      <c r="AT179" s="3">
        <f t="shared" si="115"/>
        <v>0.31685678073510776</v>
      </c>
      <c r="AU179">
        <v>1</v>
      </c>
      <c r="AV179" s="3">
        <f t="shared" si="116"/>
        <v>6.3371356147021551E-2</v>
      </c>
      <c r="AW179">
        <v>13</v>
      </c>
      <c r="AX179" s="3">
        <f t="shared" si="117"/>
        <v>0.82382762991128011</v>
      </c>
      <c r="AY179">
        <v>19</v>
      </c>
      <c r="AZ179" s="3">
        <f t="shared" si="118"/>
        <v>1.2040557667934093</v>
      </c>
      <c r="BA179">
        <v>24</v>
      </c>
      <c r="BB179" s="3">
        <f t="shared" si="119"/>
        <v>1.520912547528517</v>
      </c>
      <c r="BC179" t="s">
        <v>315</v>
      </c>
      <c r="BD179" t="s">
        <v>455</v>
      </c>
      <c r="BE179" s="1"/>
      <c r="BF179"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876.09090909090912</v>
      </c>
      <c r="BG179" s="10">
        <f>2*(Дума_партии[[#This Row],[5. Всероссийская политическая партия "ЕДИНАЯ РОССИЯ"]]-(AB$203/100)*Дума_партии[[#This Row],[Число действительных избирательных бюллетеней]])</f>
        <v>1252.81</v>
      </c>
      <c r="BH179" s="10">
        <f>(Дума_партии[[#This Row],[Вброс]]+Дума_партии[[#This Row],[Перекладывание]])/2</f>
        <v>1064.4504545454545</v>
      </c>
    </row>
    <row r="180" spans="1:60" x14ac:dyDescent="0.4">
      <c r="A180" t="s">
        <v>49</v>
      </c>
      <c r="B180" t="s">
        <v>50</v>
      </c>
      <c r="C180" t="s">
        <v>51</v>
      </c>
      <c r="D180" t="s">
        <v>227</v>
      </c>
      <c r="E180" t="s">
        <v>308</v>
      </c>
      <c r="F180" s="8">
        <f t="shared" ca="1" si="100"/>
        <v>3944</v>
      </c>
      <c r="G180" t="s">
        <v>359</v>
      </c>
      <c r="H180" s="1" t="str">
        <f>LEFT(Дума_партии[[#This Row],[tik]],4)&amp;"."&amp;IF(ISNUMBER(VALUE(RIGHT(Дума_партии[[#This Row],[tik]]))),RIGHT(Дума_партии[[#This Row],[tik]]),"")</f>
        <v>Один.2</v>
      </c>
      <c r="I180">
        <v>1806</v>
      </c>
      <c r="J180" s="8">
        <f>Дума_партии[[#This Row],[Число избирателей, внесенных в список избирателей на момент окончания голосования]]</f>
        <v>1806</v>
      </c>
      <c r="K180">
        <v>1500</v>
      </c>
      <c r="L180">
        <v>0</v>
      </c>
      <c r="M180">
        <v>329</v>
      </c>
      <c r="N180">
        <v>248</v>
      </c>
      <c r="O180" s="3">
        <f t="shared" si="101"/>
        <v>31.949058693244741</v>
      </c>
      <c r="P180" s="3">
        <f t="shared" si="102"/>
        <v>13.732004429678849</v>
      </c>
      <c r="Q180">
        <v>923</v>
      </c>
      <c r="R180">
        <v>248</v>
      </c>
      <c r="S180">
        <v>329</v>
      </c>
      <c r="T180" s="1">
        <f t="shared" si="103"/>
        <v>577</v>
      </c>
      <c r="U180" s="3">
        <f t="shared" si="104"/>
        <v>42.980935875216637</v>
      </c>
      <c r="V180">
        <v>11</v>
      </c>
      <c r="W180" s="3">
        <f t="shared" si="105"/>
        <v>1.9064124783362217</v>
      </c>
      <c r="X180">
        <v>566</v>
      </c>
      <c r="Y180">
        <v>0</v>
      </c>
      <c r="Z180">
        <v>0</v>
      </c>
      <c r="AA180">
        <v>97</v>
      </c>
      <c r="AB180" s="3">
        <f t="shared" si="106"/>
        <v>16.811091854419409</v>
      </c>
      <c r="AC180">
        <v>10</v>
      </c>
      <c r="AD180" s="3">
        <f t="shared" si="107"/>
        <v>1.733102253032929</v>
      </c>
      <c r="AE180">
        <v>37</v>
      </c>
      <c r="AF180" s="3">
        <f t="shared" si="108"/>
        <v>6.4124783362218372</v>
      </c>
      <c r="AG180">
        <v>22</v>
      </c>
      <c r="AH180" s="3">
        <f t="shared" si="109"/>
        <v>3.8128249566724435</v>
      </c>
      <c r="AI180">
        <v>318</v>
      </c>
      <c r="AJ180" s="3">
        <f t="shared" si="110"/>
        <v>55.112651646447141</v>
      </c>
      <c r="AK180">
        <v>22</v>
      </c>
      <c r="AL180" s="3">
        <f t="shared" si="111"/>
        <v>3.8128249566724435</v>
      </c>
      <c r="AM180">
        <v>11</v>
      </c>
      <c r="AN180" s="3">
        <f t="shared" si="112"/>
        <v>1.9064124783362217</v>
      </c>
      <c r="AO180">
        <v>11</v>
      </c>
      <c r="AP180" s="3">
        <f t="shared" si="113"/>
        <v>1.9064124783362217</v>
      </c>
      <c r="AQ180">
        <v>7</v>
      </c>
      <c r="AR180" s="3">
        <f t="shared" si="114"/>
        <v>1.2131715771230502</v>
      </c>
      <c r="AS180">
        <v>9</v>
      </c>
      <c r="AT180" s="3">
        <f t="shared" si="115"/>
        <v>1.559792027729636</v>
      </c>
      <c r="AU180">
        <v>2</v>
      </c>
      <c r="AV180" s="3">
        <f t="shared" si="116"/>
        <v>0.34662045060658581</v>
      </c>
      <c r="AW180">
        <v>1</v>
      </c>
      <c r="AX180" s="3">
        <f t="shared" si="117"/>
        <v>0.1733102253032929</v>
      </c>
      <c r="AY180">
        <v>5</v>
      </c>
      <c r="AZ180" s="3">
        <f t="shared" si="118"/>
        <v>0.86655112651646449</v>
      </c>
      <c r="BA180">
        <v>14</v>
      </c>
      <c r="BB180" s="3">
        <f t="shared" si="119"/>
        <v>2.4263431542461005</v>
      </c>
      <c r="BC180" t="s">
        <v>315</v>
      </c>
      <c r="BD180" s="72">
        <v>2017</v>
      </c>
      <c r="BE180" s="1"/>
      <c r="BF180"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219.14685314685318</v>
      </c>
      <c r="BG180" s="10">
        <f>2*(Дума_партии[[#This Row],[5. Всероссийская политическая партия "ЕДИНАЯ РОССИЯ"]]-(AB$203/100)*Дума_партии[[#This Row],[Число действительных избирательных бюллетеней]])</f>
        <v>313.38000000000005</v>
      </c>
      <c r="BH180" s="10">
        <f>(Дума_партии[[#This Row],[Вброс]]+Дума_партии[[#This Row],[Перекладывание]])/2</f>
        <v>266.26342657342661</v>
      </c>
    </row>
    <row r="181" spans="1:60" s="28" customFormat="1" x14ac:dyDescent="0.4">
      <c r="A181" s="28" t="s">
        <v>49</v>
      </c>
      <c r="B181" s="28" t="s">
        <v>50</v>
      </c>
      <c r="C181" s="28" t="s">
        <v>51</v>
      </c>
      <c r="D181" s="28" t="s">
        <v>227</v>
      </c>
      <c r="E181" s="28" t="s">
        <v>309</v>
      </c>
      <c r="F181" s="29">
        <f t="shared" ca="1" si="100"/>
        <v>3946</v>
      </c>
      <c r="G181" s="28" t="s">
        <v>361</v>
      </c>
      <c r="H181" s="28" t="str">
        <f>LEFT(Дума_партии[[#This Row],[tik]],4)&amp;"."&amp;IF(ISNUMBER(VALUE(RIGHT(Дума_партии[[#This Row],[tik]]))),RIGHT(Дума_партии[[#This Row],[tik]]),"")</f>
        <v>Один.2</v>
      </c>
      <c r="I181" s="28">
        <v>1312</v>
      </c>
      <c r="J181" s="29">
        <f>Дума_партии[[#This Row],[Число избирателей, внесенных в список избирателей на момент окончания голосования]]</f>
        <v>1312</v>
      </c>
      <c r="K181" s="28">
        <v>1000</v>
      </c>
      <c r="L181" s="28">
        <v>0</v>
      </c>
      <c r="M181" s="28">
        <v>543</v>
      </c>
      <c r="N181" s="28">
        <v>10</v>
      </c>
      <c r="O181" s="30">
        <f t="shared" si="101"/>
        <v>42.149390243902438</v>
      </c>
      <c r="P181" s="30">
        <f t="shared" si="102"/>
        <v>0.76219512195121952</v>
      </c>
      <c r="Q181" s="28">
        <v>446</v>
      </c>
      <c r="R181" s="28">
        <v>10</v>
      </c>
      <c r="S181" s="28">
        <v>543</v>
      </c>
      <c r="T181" s="28">
        <f t="shared" si="103"/>
        <v>553</v>
      </c>
      <c r="U181" s="30">
        <f t="shared" si="104"/>
        <v>1.8083182640144666</v>
      </c>
      <c r="V181" s="28">
        <v>18</v>
      </c>
      <c r="W181" s="30">
        <f t="shared" si="105"/>
        <v>3.2549728752260396</v>
      </c>
      <c r="X181" s="28">
        <v>535</v>
      </c>
      <c r="Y181" s="28">
        <v>1</v>
      </c>
      <c r="Z181" s="28">
        <v>0</v>
      </c>
      <c r="AA181" s="28">
        <v>267</v>
      </c>
      <c r="AB181" s="30">
        <f t="shared" si="106"/>
        <v>48.282097649186255</v>
      </c>
      <c r="AC181" s="28">
        <v>10</v>
      </c>
      <c r="AD181" s="30">
        <f t="shared" si="107"/>
        <v>1.8083182640144666</v>
      </c>
      <c r="AE181" s="28">
        <v>25</v>
      </c>
      <c r="AF181" s="30">
        <f t="shared" si="108"/>
        <v>4.5207956600361667</v>
      </c>
      <c r="AG181" s="28">
        <v>35</v>
      </c>
      <c r="AH181" s="30">
        <f t="shared" si="109"/>
        <v>6.3291139240506329</v>
      </c>
      <c r="AI181" s="28">
        <v>100</v>
      </c>
      <c r="AJ181" s="30">
        <f t="shared" si="110"/>
        <v>18.083182640144667</v>
      </c>
      <c r="AK181" s="28">
        <v>44</v>
      </c>
      <c r="AL181" s="30">
        <f t="shared" si="111"/>
        <v>7.9566003616636527</v>
      </c>
      <c r="AM181" s="28">
        <v>10</v>
      </c>
      <c r="AN181" s="30">
        <f t="shared" si="112"/>
        <v>1.8083182640144666</v>
      </c>
      <c r="AO181" s="28">
        <v>1</v>
      </c>
      <c r="AP181" s="30">
        <f t="shared" si="113"/>
        <v>0.18083182640144665</v>
      </c>
      <c r="AQ181" s="28">
        <v>3</v>
      </c>
      <c r="AR181" s="30">
        <f t="shared" si="114"/>
        <v>0.54249547920433994</v>
      </c>
      <c r="AS181" s="28">
        <v>12</v>
      </c>
      <c r="AT181" s="30">
        <f t="shared" si="115"/>
        <v>2.1699819168173597</v>
      </c>
      <c r="AU181" s="28">
        <v>1</v>
      </c>
      <c r="AV181" s="30">
        <f t="shared" si="116"/>
        <v>0.18083182640144665</v>
      </c>
      <c r="AW181" s="28">
        <v>4</v>
      </c>
      <c r="AX181" s="30">
        <f t="shared" si="117"/>
        <v>0.72332730560578662</v>
      </c>
      <c r="AY181" s="28">
        <v>3</v>
      </c>
      <c r="AZ181" s="30">
        <f t="shared" si="118"/>
        <v>0.54249547920433994</v>
      </c>
      <c r="BA181" s="28">
        <v>20</v>
      </c>
      <c r="BB181" s="30">
        <f t="shared" si="119"/>
        <v>3.6166365280289332</v>
      </c>
      <c r="BC181" s="28" t="s">
        <v>315</v>
      </c>
      <c r="BD181" s="74">
        <v>2017</v>
      </c>
      <c r="BE181" s="28">
        <v>3</v>
      </c>
      <c r="BF181" s="31">
        <f>Дума_партии[[#This Row],[1. Политическая партия "КОММУНИСТИЧЕСКАЯ ПАРТИЯ РОССИЙСКОЙ ФЕДЕРАЦИИ"]]-((AB$205/100)/(1-(AB$205/100)))*(Дума_партии[[#This Row],[Число действительных избирательных бюллетеней]]-Дума_партии[[#This Row],[1. Политическая партия "КОММУНИСТИЧЕСКАЯ ПАРТИЯ РОССИЙСКОЙ ФЕДЕРАЦИИ"]])</f>
        <v>146.59420289855069</v>
      </c>
      <c r="BG181" s="31">
        <f>2*(Дума_партии[[#This Row],[1. Политическая партия "КОММУНИСТИЧЕСКАЯ ПАРТИЯ РОССИЙСКОЙ ФЕДЕРАЦИИ"]]-(AB$205/100)*Дума_партии[[#This Row],[Число действительных избирательных бюллетеней]])</f>
        <v>202.3</v>
      </c>
      <c r="BH181" s="31">
        <f>(Дума_партии[[#This Row],[Вброс]]+Дума_партии[[#This Row],[Перекладывание]])/2</f>
        <v>174.44710144927535</v>
      </c>
    </row>
    <row r="182" spans="1:60" s="28" customFormat="1" x14ac:dyDescent="0.4">
      <c r="A182" s="28" t="s">
        <v>49</v>
      </c>
      <c r="B182" s="28" t="s">
        <v>50</v>
      </c>
      <c r="C182" s="28" t="s">
        <v>51</v>
      </c>
      <c r="D182" s="28" t="s">
        <v>227</v>
      </c>
      <c r="E182" s="28" t="s">
        <v>310</v>
      </c>
      <c r="F182" s="29">
        <f t="shared" ca="1" si="100"/>
        <v>3947</v>
      </c>
      <c r="G182" s="28" t="s">
        <v>361</v>
      </c>
      <c r="H182" s="28" t="str">
        <f>LEFT(Дума_партии[[#This Row],[tik]],4)&amp;"."&amp;IF(ISNUMBER(VALUE(RIGHT(Дума_партии[[#This Row],[tik]]))),RIGHT(Дума_партии[[#This Row],[tik]]),"")</f>
        <v>Один.2</v>
      </c>
      <c r="I182" s="28">
        <v>1658</v>
      </c>
      <c r="J182" s="29">
        <f>Дума_партии[[#This Row],[Число избирателей, внесенных в список избирателей на момент окончания голосования]]</f>
        <v>1658</v>
      </c>
      <c r="K182" s="28">
        <v>1400</v>
      </c>
      <c r="L182" s="28">
        <v>0</v>
      </c>
      <c r="M182" s="28">
        <v>696</v>
      </c>
      <c r="N182" s="28">
        <v>23</v>
      </c>
      <c r="O182" s="30">
        <f t="shared" si="101"/>
        <v>43.365500603136311</v>
      </c>
      <c r="P182" s="30">
        <f t="shared" si="102"/>
        <v>1.3872135102533172</v>
      </c>
      <c r="Q182" s="28">
        <v>681</v>
      </c>
      <c r="R182" s="28">
        <v>23</v>
      </c>
      <c r="S182" s="28">
        <v>696</v>
      </c>
      <c r="T182" s="28">
        <f t="shared" si="103"/>
        <v>719</v>
      </c>
      <c r="U182" s="30">
        <f t="shared" si="104"/>
        <v>3.1988873435326841</v>
      </c>
      <c r="V182" s="28">
        <v>19</v>
      </c>
      <c r="W182" s="30">
        <f t="shared" si="105"/>
        <v>2.642559109874826</v>
      </c>
      <c r="X182" s="28">
        <v>700</v>
      </c>
      <c r="Y182" s="28">
        <v>0</v>
      </c>
      <c r="Z182" s="28">
        <v>0</v>
      </c>
      <c r="AA182" s="28">
        <v>392</v>
      </c>
      <c r="AB182" s="30">
        <f t="shared" si="106"/>
        <v>54.520166898470094</v>
      </c>
      <c r="AC182" s="28">
        <v>7</v>
      </c>
      <c r="AD182" s="30">
        <f t="shared" si="107"/>
        <v>0.97357440890125169</v>
      </c>
      <c r="AE182" s="28">
        <v>32</v>
      </c>
      <c r="AF182" s="30">
        <f t="shared" si="108"/>
        <v>4.4506258692628649</v>
      </c>
      <c r="AG182" s="28">
        <v>36</v>
      </c>
      <c r="AH182" s="30">
        <f t="shared" si="109"/>
        <v>5.006954102920723</v>
      </c>
      <c r="AI182" s="28">
        <v>113</v>
      </c>
      <c r="AJ182" s="30">
        <f t="shared" si="110"/>
        <v>15.716272600834492</v>
      </c>
      <c r="AK182" s="28">
        <v>41</v>
      </c>
      <c r="AL182" s="30">
        <f t="shared" si="111"/>
        <v>5.7023643949930456</v>
      </c>
      <c r="AM182" s="28">
        <v>8</v>
      </c>
      <c r="AN182" s="30">
        <f t="shared" si="112"/>
        <v>1.1126564673157162</v>
      </c>
      <c r="AO182" s="28">
        <v>4</v>
      </c>
      <c r="AP182" s="30">
        <f t="shared" si="113"/>
        <v>0.55632823365785811</v>
      </c>
      <c r="AQ182" s="28">
        <v>6</v>
      </c>
      <c r="AR182" s="30">
        <f t="shared" si="114"/>
        <v>0.83449235048678716</v>
      </c>
      <c r="AS182" s="28">
        <v>23</v>
      </c>
      <c r="AT182" s="30">
        <f t="shared" si="115"/>
        <v>3.1988873435326841</v>
      </c>
      <c r="AU182" s="28">
        <v>1</v>
      </c>
      <c r="AV182" s="30">
        <f t="shared" si="116"/>
        <v>0.13908205841446453</v>
      </c>
      <c r="AW182" s="28">
        <v>2</v>
      </c>
      <c r="AX182" s="30">
        <f t="shared" si="117"/>
        <v>0.27816411682892905</v>
      </c>
      <c r="AY182" s="28">
        <v>11</v>
      </c>
      <c r="AZ182" s="30">
        <f t="shared" si="118"/>
        <v>1.5299026425591098</v>
      </c>
      <c r="BA182" s="28">
        <v>24</v>
      </c>
      <c r="BB182" s="30">
        <f t="shared" si="119"/>
        <v>3.3379694019471486</v>
      </c>
      <c r="BC182" s="28" t="s">
        <v>315</v>
      </c>
      <c r="BD182" s="74">
        <v>2017</v>
      </c>
      <c r="BE182" s="28">
        <v>4</v>
      </c>
      <c r="BF182" s="31">
        <f>Дума_партии[[#This Row],[1. Политическая партия "КОММУНИСТИЧЕСКАЯ ПАРТИЯ РОССИЙСКОЙ ФЕДЕРАЦИИ"]]-((AB$205/100)/(1-(AB$205/100)))*(Дума_партии[[#This Row],[Число действительных избирательных бюллетеней]]-Дума_партии[[#This Row],[1. Политическая партия "КОММУНИСТИЧЕСКАЯ ПАРТИЯ РОССИЙСКОЙ ФЕДЕРАЦИИ"]])</f>
        <v>253.62318840579709</v>
      </c>
      <c r="BG182" s="31">
        <f>2*(Дума_партии[[#This Row],[1. Политическая партия "КОММУНИСТИЧЕСКАЯ ПАРТИЯ РОССИЙСКОЙ ФЕДЕРАЦИИ"]]-(AB$205/100)*Дума_партии[[#This Row],[Число действительных избирательных бюллетеней]])</f>
        <v>350</v>
      </c>
      <c r="BH182" s="31">
        <f>(Дума_партии[[#This Row],[Вброс]]+Дума_партии[[#This Row],[Перекладывание]])/2</f>
        <v>301.81159420289856</v>
      </c>
    </row>
    <row r="183" spans="1:60" x14ac:dyDescent="0.4">
      <c r="A183" t="s">
        <v>49</v>
      </c>
      <c r="B183" t="s">
        <v>50</v>
      </c>
      <c r="C183" t="s">
        <v>51</v>
      </c>
      <c r="D183" t="s">
        <v>227</v>
      </c>
      <c r="E183" t="s">
        <v>311</v>
      </c>
      <c r="F183" s="8">
        <f t="shared" ca="1" si="100"/>
        <v>3948</v>
      </c>
      <c r="G183" t="s">
        <v>361</v>
      </c>
      <c r="H183" s="1" t="str">
        <f>LEFT(Дума_партии[[#This Row],[tik]],4)&amp;"."&amp;IF(ISNUMBER(VALUE(RIGHT(Дума_партии[[#This Row],[tik]]))),RIGHT(Дума_партии[[#This Row],[tik]]),"")</f>
        <v>Один.2</v>
      </c>
      <c r="I183">
        <v>1066</v>
      </c>
      <c r="J183" s="8">
        <f>Дума_партии[[#This Row],[Число избирателей, внесенных в список избирателей на момент окончания голосования]]</f>
        <v>1066</v>
      </c>
      <c r="K183">
        <v>900</v>
      </c>
      <c r="L183">
        <v>0</v>
      </c>
      <c r="M183">
        <v>260</v>
      </c>
      <c r="N183">
        <v>21</v>
      </c>
      <c r="O183" s="3">
        <f t="shared" si="101"/>
        <v>26.360225140712945</v>
      </c>
      <c r="P183" s="3">
        <f t="shared" si="102"/>
        <v>1.9699812382739212</v>
      </c>
      <c r="Q183">
        <v>619</v>
      </c>
      <c r="R183">
        <v>21</v>
      </c>
      <c r="S183">
        <v>260</v>
      </c>
      <c r="T183" s="1">
        <f t="shared" si="103"/>
        <v>281</v>
      </c>
      <c r="U183" s="3">
        <f t="shared" si="104"/>
        <v>7.4733096085409256</v>
      </c>
      <c r="V183">
        <v>2</v>
      </c>
      <c r="W183" s="3">
        <f t="shared" si="105"/>
        <v>0.71174377224199292</v>
      </c>
      <c r="X183">
        <v>279</v>
      </c>
      <c r="Y183">
        <v>0</v>
      </c>
      <c r="Z183">
        <v>0</v>
      </c>
      <c r="AA183">
        <v>87</v>
      </c>
      <c r="AB183" s="3">
        <f t="shared" si="106"/>
        <v>30.960854092526692</v>
      </c>
      <c r="AC183">
        <v>5</v>
      </c>
      <c r="AD183" s="3">
        <f t="shared" si="107"/>
        <v>1.7793594306049823</v>
      </c>
      <c r="AE183">
        <v>18</v>
      </c>
      <c r="AF183" s="3">
        <f t="shared" si="108"/>
        <v>6.4056939501779357</v>
      </c>
      <c r="AG183">
        <v>20</v>
      </c>
      <c r="AH183" s="3">
        <f t="shared" si="109"/>
        <v>7.117437722419929</v>
      </c>
      <c r="AI183">
        <v>90</v>
      </c>
      <c r="AJ183" s="3">
        <f t="shared" si="110"/>
        <v>32.028469750889677</v>
      </c>
      <c r="AK183">
        <v>17</v>
      </c>
      <c r="AL183" s="3">
        <f t="shared" si="111"/>
        <v>6.0498220640569391</v>
      </c>
      <c r="AM183">
        <v>17</v>
      </c>
      <c r="AN183" s="3">
        <f t="shared" si="112"/>
        <v>6.0498220640569391</v>
      </c>
      <c r="AO183">
        <v>2</v>
      </c>
      <c r="AP183" s="3">
        <f t="shared" si="113"/>
        <v>0.71174377224199292</v>
      </c>
      <c r="AQ183">
        <v>3</v>
      </c>
      <c r="AR183" s="3">
        <f t="shared" si="114"/>
        <v>1.0676156583629892</v>
      </c>
      <c r="AS183">
        <v>4</v>
      </c>
      <c r="AT183" s="3">
        <f t="shared" si="115"/>
        <v>1.4234875444839858</v>
      </c>
      <c r="AU183">
        <v>0</v>
      </c>
      <c r="AV183" s="3">
        <f t="shared" si="116"/>
        <v>0</v>
      </c>
      <c r="AW183">
        <v>4</v>
      </c>
      <c r="AX183" s="3">
        <f t="shared" si="117"/>
        <v>1.4234875444839858</v>
      </c>
      <c r="AY183">
        <v>6</v>
      </c>
      <c r="AZ183" s="3">
        <f t="shared" si="118"/>
        <v>2.1352313167259784</v>
      </c>
      <c r="BA183">
        <v>6</v>
      </c>
      <c r="BB183" s="3">
        <f t="shared" si="119"/>
        <v>2.1352313167259784</v>
      </c>
      <c r="BC183" t="s">
        <v>315</v>
      </c>
      <c r="BD183" s="72">
        <v>2017</v>
      </c>
      <c r="BE183" s="1">
        <v>1</v>
      </c>
      <c r="BF183" s="10">
        <f>Дума_партии[[#This Row],[5. Всероссийская политическая партия "ЕДИНАЯ РОССИЯ"]]-((AB$203/100)/(1-(AB$203/100)))*(Дума_партии[[#This Row],[Число действительных избирательных бюллетеней]]-Дума_партии[[#This Row],[5. Всероссийская политическая партия "ЕДИНАЯ РОССИЯ"]])</f>
        <v>14.664335664335681</v>
      </c>
      <c r="BG183" s="10">
        <f>2*(Дума_партии[[#This Row],[5. Всероссийская политическая партия "ЕДИНАЯ РОССИЯ"]]-(AB$203/100)*Дума_партии[[#This Row],[Число действительных избирательных бюллетеней]])</f>
        <v>20.970000000000027</v>
      </c>
      <c r="BH183" s="10">
        <f>(Дума_партии[[#This Row],[Вброс]]+Дума_партии[[#This Row],[Перекладывание]])/2</f>
        <v>17.817167832167854</v>
      </c>
    </row>
    <row r="184" spans="1:60" x14ac:dyDescent="0.4">
      <c r="A184" s="1" t="s">
        <v>95</v>
      </c>
      <c r="F184" s="1">
        <f ca="1">SUBTOTAL(103,Дума_партии[УИК])</f>
        <v>182</v>
      </c>
      <c r="I184" s="1">
        <f>SUBTOTAL(109,Дума_партии[Число избирателей, внесенных в список избирателей на момент окончания голосования])</f>
        <v>318754</v>
      </c>
      <c r="M184" s="1">
        <f>SUBTOTAL(109,Дума_партии[Число избирательных бюллетеней, выданных в помещении для голосования в день голосования])</f>
        <v>119367</v>
      </c>
      <c r="N184" s="1">
        <f>SUBTOTAL(109,Дума_партии[Число избирательных бюллетеней, выданных вне помещения для голосования в день голосования])</f>
        <v>14389</v>
      </c>
      <c r="O184" s="1"/>
      <c r="P184" s="1"/>
      <c r="T184" s="1">
        <f>SUBTOTAL(109,Дума_партии[Обнаружено])</f>
        <v>132391</v>
      </c>
      <c r="U184" s="1"/>
      <c r="W184" s="1"/>
      <c r="X184" s="22">
        <f>SUBTOTAL(109,Дума_партии[Число действительных избирательных бюллетеней])</f>
        <v>127846</v>
      </c>
      <c r="AA184" s="1">
        <f>SUBTOTAL(109,Дума_партии[1. Политическая партия "КОММУНИСТИЧЕСКАЯ ПАРТИЯ РОССИЙСКОЙ ФЕДЕРАЦИИ"])</f>
        <v>30800</v>
      </c>
      <c r="AB184" s="1"/>
      <c r="AC184" s="1">
        <f>SUBTOTAL(109,Дума_партии[2. Политическая партия "Российская экологическая партия "ЗЕЛЁНЫЕ"])</f>
        <v>2052</v>
      </c>
      <c r="AD184" s="1"/>
      <c r="AE184" s="1">
        <f>SUBTOTAL(109,Дума_партии[3. Политическая партия ЛДПР – Либерально-демократическая партия России])</f>
        <v>9162</v>
      </c>
      <c r="AF184" s="1"/>
      <c r="AG184" s="1">
        <f>SUBTOTAL(109,Дума_партии[4. Политическая партия "НОВЫЕ ЛЮДИ"])</f>
        <v>8873</v>
      </c>
      <c r="AH184" s="1"/>
      <c r="AI184" s="1">
        <f>SUBTOTAL(109,Дума_партии[5. Всероссийская политическая партия "ЕДИНАЯ РОССИЯ"])</f>
        <v>51896</v>
      </c>
      <c r="AJ184" s="1"/>
      <c r="AK184" s="1">
        <f>SUBTOTAL(109,Дума_партии[6. Партия СПРАВЕДЛИВАЯ РОССИЯ – ЗА ПРАВДУ])</f>
        <v>9852</v>
      </c>
      <c r="AL184" s="1"/>
      <c r="AM184" s="1">
        <f>SUBTOTAL(109,Дума_партии[7. Политическая партия "Российская объединенная демократическая партия "ЯБЛОКО"])</f>
        <v>2983</v>
      </c>
      <c r="AN184" s="1"/>
      <c r="AO184" s="1">
        <f>SUBTOTAL(109,Дума_партии[8. Всероссийская политическая партия "ПАРТИЯ РОСТА"])</f>
        <v>947</v>
      </c>
      <c r="AP184" s="1"/>
      <c r="AQ184" s="1">
        <f>SUBTOTAL(109,Дума_партии[9. Политическая партия РОССИЙСКАЯ ПАРТИЯ СВОБОДЫ И СПРАВЕДЛИВОСТИ])</f>
        <v>1610</v>
      </c>
      <c r="AR184" s="1"/>
      <c r="AS184" s="1">
        <f>SUBTOTAL(109,Дума_партии[10. Политическая партия КОММУНИСТИЧЕСКАЯ ПАРТИЯ КОММУНИСТЫ РОССИИ])</f>
        <v>2448</v>
      </c>
      <c r="AT184" s="1"/>
      <c r="AU184" s="1">
        <f>SUBTOTAL(109,Дума_партии[11. Политическая партия "Гражданская Платформа"])</f>
        <v>237</v>
      </c>
      <c r="AV184" s="1"/>
      <c r="AW184" s="1">
        <f>SUBTOTAL(109,Дума_партии[12. Политическая партия ЗЕЛЕНАЯ АЛЬТЕРНАТИВА])</f>
        <v>1415</v>
      </c>
      <c r="AX184" s="1"/>
      <c r="AY184" s="1">
        <f>SUBTOTAL(109,Дума_партии[13. ВСЕРОССИЙСКАЯ ПОЛИТИЧЕСКАЯ ПАРТИЯ "РОДИНА"])</f>
        <v>1534</v>
      </c>
      <c r="AZ184" s="1"/>
      <c r="BA184" s="1">
        <f>SUBTOTAL(109,Дума_партии[14. ПАРТИЯ ПЕНСИОНЕРОВ])</f>
        <v>4037</v>
      </c>
      <c r="BB184" s="1"/>
      <c r="BD184" s="1">
        <f>SUBTOTAL(102,Дума_партии[КОИБ])</f>
        <v>143</v>
      </c>
      <c r="BE184" s="1">
        <f>SUBTOTAL(102,Дума_партии[Наблюдателей])</f>
        <v>35</v>
      </c>
      <c r="BF184" s="69">
        <f>SUBTOTAL(109,Дума_партии[Вброс])</f>
        <v>22216.811796898757</v>
      </c>
      <c r="BG184" s="69">
        <f>SUBTOTAL(109,Дума_партии[Перекладывание])</f>
        <v>31750.030000000013</v>
      </c>
      <c r="BH184" s="69">
        <f>SUBTOTAL(109,Дума_партии[Оценка числа бюллетеней, сфальсифицированных в пользу ЕР])</f>
        <v>26983.420898449385</v>
      </c>
    </row>
    <row r="185" spans="1:60" x14ac:dyDescent="0.4">
      <c r="A185" s="3"/>
      <c r="B185" s="3"/>
      <c r="C185" s="3"/>
      <c r="D185" s="3"/>
      <c r="E185" s="3"/>
      <c r="F185" s="3"/>
      <c r="G185" s="3"/>
      <c r="H185" s="3"/>
      <c r="I185" s="3"/>
      <c r="J185" s="3"/>
      <c r="K185" s="3"/>
      <c r="L185" s="3"/>
      <c r="M185" s="3" t="s">
        <v>52</v>
      </c>
      <c r="N185" s="3">
        <f>100*(M184+N184)/I184</f>
        <v>41.962140082947975</v>
      </c>
      <c r="Q185" s="3"/>
      <c r="R185" s="3"/>
      <c r="S185" s="3"/>
      <c r="T185" s="3"/>
      <c r="V185" s="3"/>
      <c r="X185" s="3"/>
      <c r="Y185" s="3"/>
      <c r="Z185" s="3"/>
      <c r="AA185" s="3">
        <f>100*AA184/$T184</f>
        <v>23.264421297520226</v>
      </c>
      <c r="AC185" s="3">
        <f>100*AC184/$T184</f>
        <v>1.5499543020295941</v>
      </c>
      <c r="AE185" s="3">
        <f>100*AE184/$T184</f>
        <v>6.9204099976584512</v>
      </c>
      <c r="AG185" s="3">
        <f>100*AG184/$T184</f>
        <v>6.702117213405745</v>
      </c>
      <c r="AI185" s="3">
        <f>100*AI184/$T184</f>
        <v>39.199039209613943</v>
      </c>
      <c r="AK185" s="3">
        <f>100*AK184/$T184</f>
        <v>7.441593461791209</v>
      </c>
      <c r="AM185" s="3">
        <f>100*AM184/$T184</f>
        <v>2.2531743094319099</v>
      </c>
      <c r="AO185" s="3">
        <f>100*AO184/$T184</f>
        <v>0.71530542106336537</v>
      </c>
      <c r="AQ185" s="3">
        <f>100*AQ184/$T184</f>
        <v>1.2160947496431027</v>
      </c>
      <c r="AS185" s="3">
        <f>100*AS184/$T184</f>
        <v>1.8490682901405684</v>
      </c>
      <c r="AU185" s="3">
        <f>100*AU184/$T184</f>
        <v>0.17901518985429524</v>
      </c>
      <c r="AW185" s="3">
        <f>100*AW184/$T184</f>
        <v>1.0688037706490623</v>
      </c>
      <c r="AY185" s="3">
        <f>100*AY184/$T184</f>
        <v>1.1586890347531176</v>
      </c>
      <c r="BA185" s="3">
        <f>100*BA184/$T184</f>
        <v>3.0493009343535435</v>
      </c>
      <c r="BC185" s="3"/>
      <c r="BD185" s="3"/>
      <c r="BF185" s="3">
        <f>BF184*100/Дума_партии[[#Totals],[5. Всероссийская политическая партия "ЕДИНАЯ РОССИЯ"]]</f>
        <v>42.810258588135419</v>
      </c>
      <c r="BG185" s="3">
        <f>BG184*100/Дума_партии[[#Totals],[5. Всероссийская политическая партия "ЕДИНАЯ РОССИЯ"]]</f>
        <v>61.180110220440909</v>
      </c>
      <c r="BH185" s="3">
        <f>BH184*100/Дума_партии[[#Totals],[5. Всероссийская политическая партия "ЕДИНАЯ РОССИЯ"]]</f>
        <v>51.99518440428816</v>
      </c>
    </row>
    <row r="186" spans="1:60" x14ac:dyDescent="0.4">
      <c r="A186" s="3"/>
      <c r="B186" s="3"/>
      <c r="C186" s="3"/>
      <c r="D186" s="3"/>
      <c r="E186" s="3"/>
      <c r="F186" s="3"/>
      <c r="G186" s="3"/>
      <c r="H186" s="3"/>
      <c r="I186" s="3"/>
      <c r="J186" s="3"/>
      <c r="K186" s="3"/>
      <c r="L186" s="3"/>
      <c r="M186" s="3"/>
      <c r="N186" s="3"/>
      <c r="Q186" s="3"/>
      <c r="R186" s="3"/>
      <c r="S186" s="3"/>
      <c r="T186" s="3"/>
      <c r="V186" s="3"/>
      <c r="X186" s="3"/>
      <c r="Y186" s="3"/>
      <c r="Z186" s="3"/>
      <c r="AA186" s="23">
        <f>100*AA184/$X184</f>
        <v>24.091485067972403</v>
      </c>
      <c r="AC186" s="3"/>
      <c r="AE186" s="3"/>
      <c r="AG186" s="3"/>
      <c r="AI186" s="23">
        <f>100*AI184/$X184</f>
        <v>40.592587957386229</v>
      </c>
      <c r="AK186" s="3"/>
      <c r="AM186" s="3"/>
      <c r="AO186" s="3"/>
      <c r="AQ186" s="3"/>
      <c r="AS186" s="3"/>
      <c r="AU186" s="3"/>
      <c r="AW186" s="3"/>
      <c r="AY186" s="3"/>
      <c r="BA186" s="3"/>
      <c r="BC186" s="3"/>
      <c r="BD186" s="3"/>
      <c r="BF186" s="70" t="s">
        <v>447</v>
      </c>
      <c r="BG186" s="70"/>
      <c r="BH186" s="70"/>
    </row>
    <row r="202" spans="27:30" x14ac:dyDescent="0.4">
      <c r="AA202" s="1" t="s">
        <v>362</v>
      </c>
      <c r="AB202" s="1"/>
    </row>
    <row r="203" spans="27:30" x14ac:dyDescent="0.4">
      <c r="AA203" s="3">
        <v>27.3</v>
      </c>
      <c r="AB203" s="27">
        <v>28.5</v>
      </c>
    </row>
    <row r="204" spans="27:30" x14ac:dyDescent="0.4">
      <c r="AA204" s="1" t="s">
        <v>363</v>
      </c>
      <c r="AB204" s="9"/>
      <c r="AD204" s="9"/>
    </row>
    <row r="205" spans="27:30" x14ac:dyDescent="0.4">
      <c r="AA205" s="3">
        <v>29.7</v>
      </c>
      <c r="AB205" s="27">
        <v>31</v>
      </c>
    </row>
    <row r="206" spans="27:30" x14ac:dyDescent="0.4">
      <c r="AA206" s="3"/>
      <c r="AB206" s="1"/>
    </row>
    <row r="207" spans="27:30" x14ac:dyDescent="0.4">
      <c r="AA207" s="3"/>
      <c r="AB207" s="1"/>
    </row>
    <row r="208" spans="27:30" x14ac:dyDescent="0.4">
      <c r="AA208" s="3"/>
      <c r="AB208" s="1"/>
    </row>
    <row r="209" spans="27:28" x14ac:dyDescent="0.4">
      <c r="AA209" s="3"/>
      <c r="AB209" s="1"/>
    </row>
    <row r="210" spans="27:28" x14ac:dyDescent="0.4">
      <c r="AA210" s="3"/>
      <c r="AB210" s="1"/>
    </row>
    <row r="211" spans="27:28" x14ac:dyDescent="0.4">
      <c r="AA211" s="3"/>
      <c r="AB211" s="1"/>
    </row>
    <row r="212" spans="27:28" x14ac:dyDescent="0.4">
      <c r="AA212" s="3"/>
      <c r="AB212" s="1"/>
    </row>
    <row r="213" spans="27:28" x14ac:dyDescent="0.4">
      <c r="AA213" s="3"/>
      <c r="AB213" s="1"/>
    </row>
    <row r="214" spans="27:28" x14ac:dyDescent="0.4">
      <c r="AA214" s="3"/>
      <c r="AB214" s="1"/>
    </row>
    <row r="215" spans="27:28" x14ac:dyDescent="0.4">
      <c r="AA215" s="3"/>
      <c r="AB215" s="1"/>
    </row>
    <row r="216" spans="27:28" x14ac:dyDescent="0.4">
      <c r="AA216" s="3"/>
      <c r="AB216" s="1"/>
    </row>
    <row r="217" spans="27:28" x14ac:dyDescent="0.4">
      <c r="AA217" s="3"/>
      <c r="AB217" s="1"/>
    </row>
    <row r="218" spans="27:28" x14ac:dyDescent="0.4">
      <c r="AA218" s="3"/>
      <c r="AB218" s="1"/>
    </row>
    <row r="219" spans="27:28" x14ac:dyDescent="0.4">
      <c r="AA219" s="3"/>
      <c r="AB219" s="1"/>
    </row>
    <row r="220" spans="27:28" x14ac:dyDescent="0.4">
      <c r="AA220" s="3"/>
      <c r="AB220" s="1"/>
    </row>
    <row r="221" spans="27:28" x14ac:dyDescent="0.4">
      <c r="AA221" s="1" t="s">
        <v>127</v>
      </c>
      <c r="AB221" s="1"/>
    </row>
    <row r="222" spans="27:28" x14ac:dyDescent="0.4">
      <c r="AA222" s="1">
        <f>MAX($J2:$J183)*2</f>
        <v>6034</v>
      </c>
      <c r="AB222" s="1"/>
    </row>
  </sheetData>
  <phoneticPr fontId="3" type="noConversion"/>
  <pageMargins left="0.7" right="0.7" top="0.75" bottom="0.75" header="0.3" footer="0.3"/>
  <pageSetup paperSize="9" orientation="portrait" horizontalDpi="4294967295" verticalDpi="4294967295"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DF634-FF40-4E53-A1E8-C41C1B1617A8}">
  <dimension ref="A1:AZ222"/>
  <sheetViews>
    <sheetView topLeftCell="F1" zoomScale="70" zoomScaleNormal="70" workbookViewId="0">
      <pane ySplit="1" topLeftCell="A172" activePane="bottomLeft" state="frozen"/>
      <selection activeCell="B2" sqref="B2:E105"/>
      <selection pane="bottomLeft" activeCell="AX187" sqref="AX187"/>
    </sheetView>
  </sheetViews>
  <sheetFormatPr defaultRowHeight="14.15" x14ac:dyDescent="0.4"/>
  <cols>
    <col min="1" max="1" width="6.23046875" style="1" hidden="1" customWidth="1"/>
    <col min="2" max="2" width="6.3828125" style="1" hidden="1" customWidth="1"/>
    <col min="3" max="3" width="9.53515625" style="1" hidden="1" customWidth="1"/>
    <col min="4" max="5" width="6.3828125" style="1" hidden="1" customWidth="1"/>
    <col min="6" max="6" width="6.3828125" style="1" customWidth="1"/>
    <col min="7" max="7" width="16.84375" style="1" customWidth="1"/>
    <col min="8" max="8" width="7.3828125" style="1" customWidth="1"/>
    <col min="9" max="9" width="7.61328125" style="1" customWidth="1"/>
    <col min="10" max="11" width="6.3828125" style="1" customWidth="1"/>
    <col min="12" max="12" width="6.3828125" style="3" customWidth="1"/>
    <col min="13" max="13" width="7.61328125" style="1" customWidth="1"/>
    <col min="14" max="14" width="6.3828125" style="1" customWidth="1"/>
    <col min="15" max="15" width="6.61328125" style="1" customWidth="1"/>
    <col min="16" max="19" width="6.3828125" style="1" customWidth="1"/>
    <col min="20" max="20" width="7.69140625" style="3" customWidth="1"/>
    <col min="21" max="21" width="6.3828125" style="1" customWidth="1"/>
    <col min="22" max="22" width="6.3828125" style="3" customWidth="1"/>
    <col min="23" max="23" width="6.3828125" style="1" customWidth="1"/>
    <col min="24" max="24" width="7.4609375" style="1" customWidth="1"/>
    <col min="25" max="26" width="6.3828125" style="1" customWidth="1"/>
    <col min="27" max="27" width="6.3828125" style="3" customWidth="1"/>
    <col min="28" max="28" width="6.3828125" style="1" customWidth="1"/>
    <col min="29" max="29" width="6.3828125" style="3" customWidth="1"/>
    <col min="30" max="30" width="6.3828125" style="1" customWidth="1"/>
    <col min="31" max="31" width="6.3828125" style="3" customWidth="1"/>
    <col min="32" max="32" width="6.3828125" style="1" customWidth="1"/>
    <col min="33" max="33" width="6.3828125" style="3" customWidth="1"/>
    <col min="34" max="34" width="6.3828125" style="1" customWidth="1"/>
    <col min="35" max="35" width="6.3828125" style="3" customWidth="1"/>
    <col min="36" max="36" width="6.3828125" style="1" customWidth="1"/>
    <col min="37" max="37" width="6.3828125" style="3" customWidth="1"/>
    <col min="38" max="38" width="6.3828125" style="1" customWidth="1"/>
    <col min="39" max="39" width="6.3828125" style="3" customWidth="1"/>
    <col min="40" max="40" width="6.3828125" style="1" customWidth="1"/>
    <col min="41" max="41" width="6.3828125" style="3" customWidth="1"/>
    <col min="42" max="42" width="6.3828125" style="1" customWidth="1"/>
    <col min="43" max="43" width="6.3828125" style="3" customWidth="1"/>
    <col min="44" max="44" width="6.3828125" style="1" customWidth="1"/>
    <col min="45" max="45" width="6.3828125" style="3" customWidth="1"/>
    <col min="46" max="47" width="6.3828125" style="1" customWidth="1"/>
    <col min="48" max="48" width="6.23046875" style="75" customWidth="1"/>
    <col min="49" max="51" width="6.3828125" style="1" customWidth="1"/>
    <col min="52" max="16384" width="9.23046875" style="1"/>
  </cols>
  <sheetData>
    <row r="1" spans="2:52" x14ac:dyDescent="0.4">
      <c r="B1" s="1" t="s">
        <v>0</v>
      </c>
      <c r="C1" s="1" t="s">
        <v>2</v>
      </c>
      <c r="D1" s="1" t="s">
        <v>3</v>
      </c>
      <c r="E1" s="1" t="s">
        <v>4</v>
      </c>
      <c r="F1" s="5" t="s">
        <v>98</v>
      </c>
      <c r="G1" s="5" t="s">
        <v>99</v>
      </c>
      <c r="H1" s="5" t="s">
        <v>316</v>
      </c>
      <c r="I1" s="1" t="s">
        <v>53</v>
      </c>
      <c r="J1" s="1" t="s">
        <v>101</v>
      </c>
      <c r="K1" s="1" t="s">
        <v>54</v>
      </c>
      <c r="L1" s="1" t="s">
        <v>97</v>
      </c>
      <c r="M1" s="1" t="s">
        <v>55</v>
      </c>
      <c r="N1" s="1" t="s">
        <v>56</v>
      </c>
      <c r="O1" s="3" t="s">
        <v>10</v>
      </c>
      <c r="P1" s="3" t="s">
        <v>93</v>
      </c>
      <c r="Q1" s="1" t="s">
        <v>57</v>
      </c>
      <c r="R1" s="1" t="s">
        <v>58</v>
      </c>
      <c r="S1" s="1" t="s">
        <v>59</v>
      </c>
      <c r="T1" s="1" t="s">
        <v>15</v>
      </c>
      <c r="U1" s="7" t="s">
        <v>11</v>
      </c>
      <c r="V1" s="1" t="s">
        <v>60</v>
      </c>
      <c r="W1" s="7" t="s">
        <v>94</v>
      </c>
      <c r="X1" s="1" t="s">
        <v>61</v>
      </c>
      <c r="Y1" s="1" t="s">
        <v>62</v>
      </c>
      <c r="Z1" s="1" t="s">
        <v>63</v>
      </c>
      <c r="AA1" s="1" t="s">
        <v>64</v>
      </c>
      <c r="AB1" s="3" t="s">
        <v>45</v>
      </c>
      <c r="AC1" s="1" t="s">
        <v>65</v>
      </c>
      <c r="AD1" s="3" t="s">
        <v>25</v>
      </c>
      <c r="AE1" s="1" t="s">
        <v>66</v>
      </c>
      <c r="AF1" s="3" t="s">
        <v>27</v>
      </c>
      <c r="AG1" s="1" t="s">
        <v>67</v>
      </c>
      <c r="AH1" s="3" t="s">
        <v>47</v>
      </c>
      <c r="AI1" s="1" t="s">
        <v>68</v>
      </c>
      <c r="AJ1" s="3" t="s">
        <v>21</v>
      </c>
      <c r="AK1" s="1" t="s">
        <v>69</v>
      </c>
      <c r="AL1" s="3" t="s">
        <v>29</v>
      </c>
      <c r="AM1" s="1" t="s">
        <v>70</v>
      </c>
      <c r="AN1" s="3" t="s">
        <v>23</v>
      </c>
      <c r="AO1" s="1" t="s">
        <v>71</v>
      </c>
      <c r="AP1" s="3" t="s">
        <v>33</v>
      </c>
      <c r="AQ1" s="1" t="s">
        <v>72</v>
      </c>
      <c r="AR1" s="3" t="s">
        <v>39</v>
      </c>
      <c r="AS1" s="1" t="s">
        <v>73</v>
      </c>
      <c r="AT1" s="3" t="s">
        <v>31</v>
      </c>
      <c r="AU1" s="1" t="s">
        <v>48</v>
      </c>
      <c r="AV1" s="75" t="s">
        <v>454</v>
      </c>
      <c r="AW1" s="12" t="s">
        <v>96</v>
      </c>
      <c r="AX1" s="11" t="s">
        <v>115</v>
      </c>
      <c r="AY1" s="11" t="s">
        <v>116</v>
      </c>
      <c r="AZ1" s="11" t="s">
        <v>117</v>
      </c>
    </row>
    <row r="2" spans="2:52" x14ac:dyDescent="0.4">
      <c r="B2" t="s">
        <v>74</v>
      </c>
      <c r="C2" t="s">
        <v>366</v>
      </c>
      <c r="D2" t="s">
        <v>128</v>
      </c>
      <c r="E2" t="s">
        <v>129</v>
      </c>
      <c r="F2" s="2">
        <f t="shared" ref="F2" ca="1" si="0">SUMPRODUCT(MID(0&amp;E2, LARGE(INDEX(ISNUMBER(--MID(E2, ROW(INDIRECT("1:"&amp;LEN(E2))), 1)) * ROW(INDIRECT("1:"&amp;LEN(E2))), 0), ROW(INDIRECT("1:"&amp;LEN(E2))))+1, 1) * 10^ROW(INDIRECT("1:"&amp;LEN(E2)))/10)</f>
        <v>212</v>
      </c>
      <c r="G2" s="2" t="str">
        <f>Дума_партии[[#This Row],[Местоположение]]</f>
        <v>Власиха</v>
      </c>
      <c r="H2" t="str">
        <f>LEFT(Мособлдума_партии[[#This Row],[tik]],4)&amp;"."&amp;IF(ISNUMBER(VALUE(RIGHT(Мособлдума_партии[[#This Row],[tik]]))),RIGHT(Мособлдума_партии[[#This Row],[tik]]),"")</f>
        <v>Влас.</v>
      </c>
      <c r="I2">
        <v>2451</v>
      </c>
      <c r="J2" s="1">
        <f>Мособлдума_партии[[#This Row],[Число избирателей, внесенных в список на момент окончания голосования]]</f>
        <v>2451</v>
      </c>
      <c r="K2">
        <v>2500</v>
      </c>
      <c r="L2" s="1"/>
      <c r="M2">
        <v>1586</v>
      </c>
      <c r="N2">
        <v>19</v>
      </c>
      <c r="O2" s="3">
        <f t="shared" ref="O2" si="1">100*(M2+N2)/I2</f>
        <v>65.483476132190944</v>
      </c>
      <c r="P2" s="3">
        <f t="shared" ref="P2" si="2">100*N2/I2</f>
        <v>0.77519379844961245</v>
      </c>
      <c r="Q2">
        <v>895</v>
      </c>
      <c r="R2">
        <v>19</v>
      </c>
      <c r="S2">
        <v>1586</v>
      </c>
      <c r="T2" s="1">
        <f>R2+S2</f>
        <v>1605</v>
      </c>
      <c r="U2" s="3">
        <f>100*R2/T2</f>
        <v>1.1838006230529594</v>
      </c>
      <c r="V2">
        <v>19</v>
      </c>
      <c r="W2" s="3">
        <f>100*V2/T2</f>
        <v>1.1838006230529594</v>
      </c>
      <c r="X2">
        <v>1586</v>
      </c>
      <c r="Y2">
        <v>0</v>
      </c>
      <c r="Z2">
        <v>0</v>
      </c>
      <c r="AA2">
        <v>25</v>
      </c>
      <c r="AB2" s="3">
        <f>100*AA2/$T2</f>
        <v>1.557632398753894</v>
      </c>
      <c r="AC2">
        <v>120</v>
      </c>
      <c r="AD2" s="3">
        <f>100*AC2/$T2</f>
        <v>7.4766355140186915</v>
      </c>
      <c r="AE2">
        <v>104</v>
      </c>
      <c r="AF2" s="3">
        <f>100*AE2/$T2</f>
        <v>6.4797507788161992</v>
      </c>
      <c r="AG2">
        <v>92</v>
      </c>
      <c r="AH2" s="3">
        <f>100*AG2/$T2</f>
        <v>5.73208722741433</v>
      </c>
      <c r="AI2">
        <v>292</v>
      </c>
      <c r="AJ2" s="3">
        <f>100*AI2/$T2</f>
        <v>18.193146417445483</v>
      </c>
      <c r="AK2">
        <v>728</v>
      </c>
      <c r="AL2" s="3">
        <f>100*AK2/$T2</f>
        <v>45.358255451713397</v>
      </c>
      <c r="AM2">
        <v>50</v>
      </c>
      <c r="AN2" s="3">
        <f>100*AM2/$T2</f>
        <v>3.1152647975077881</v>
      </c>
      <c r="AO2">
        <v>17</v>
      </c>
      <c r="AP2" s="3">
        <f>100*AO2/$T2</f>
        <v>1.0591900311526479</v>
      </c>
      <c r="AQ2">
        <v>38</v>
      </c>
      <c r="AR2" s="3">
        <f>100*AQ2/$T2</f>
        <v>2.3676012461059188</v>
      </c>
      <c r="AS2">
        <v>120</v>
      </c>
      <c r="AT2" s="3">
        <f>100*AS2/$T2</f>
        <v>7.4766355140186915</v>
      </c>
      <c r="AU2" t="s">
        <v>367</v>
      </c>
      <c r="AV2" s="72" t="str">
        <f>Дума_партии[[#This Row],[КОИБ]]</f>
        <v>N</v>
      </c>
      <c r="AW2" s="1" t="str">
        <f>IF(Дума_партии[[#This Row],[Наблюдателей]]=0,"",Дума_партии[[#This Row],[Наблюдателей]])</f>
        <v/>
      </c>
      <c r="AX2"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410.65753424657532</v>
      </c>
      <c r="AY2" s="10">
        <f>2*(Мособлдума_партии[[#This Row],[6. Всероссийская политическая партия "ЕДИНАЯ РОССИЯ"]]-(AB$203/100)*Мособлдума_партии[[#This Row],[Число действительных бюллетеней]])</f>
        <v>599.55999999999995</v>
      </c>
      <c r="AZ2" s="10">
        <f>(Мособлдума_партии[[#This Row],[Вброс]]+Мособлдума_партии[[#This Row],[Перекладывание]])/2</f>
        <v>505.10876712328763</v>
      </c>
    </row>
    <row r="3" spans="2:52" x14ac:dyDescent="0.4">
      <c r="B3" t="s">
        <v>74</v>
      </c>
      <c r="C3" t="s">
        <v>366</v>
      </c>
      <c r="D3" t="s">
        <v>128</v>
      </c>
      <c r="E3" t="s">
        <v>130</v>
      </c>
      <c r="F3" s="8">
        <f t="shared" ref="F3:F26" ca="1" si="3">SUMPRODUCT(MID(0&amp;E3, LARGE(INDEX(ISNUMBER(--MID(E3, ROW(INDIRECT("1:"&amp;LEN(E3))), 1)) * ROW(INDIRECT("1:"&amp;LEN(E3))), 0), ROW(INDIRECT("1:"&amp;LEN(E3))))+1, 1) * 10^ROW(INDIRECT("1:"&amp;LEN(E3)))/10)</f>
        <v>213</v>
      </c>
      <c r="G3" s="8" t="str">
        <f>Дума_партии[[#This Row],[Местоположение]]</f>
        <v>Власиха</v>
      </c>
      <c r="H3" s="2" t="str">
        <f>LEFT(Мособлдума_партии[[#This Row],[tik]],4)&amp;"."&amp;IF(ISNUMBER(VALUE(RIGHT(Мособлдума_партии[[#This Row],[tik]]))),RIGHT(Мособлдума_партии[[#This Row],[tik]]),"")</f>
        <v>Влас.</v>
      </c>
      <c r="I3">
        <v>1792</v>
      </c>
      <c r="J3" s="8">
        <f>Мособлдума_партии[[#This Row],[Число избирателей, внесенных в список на момент окончания голосования]]</f>
        <v>1792</v>
      </c>
      <c r="K3">
        <v>1700</v>
      </c>
      <c r="M3">
        <v>900</v>
      </c>
      <c r="N3">
        <v>59</v>
      </c>
      <c r="O3" s="3">
        <f t="shared" ref="O3:O26" si="4">100*(M3+N3)/I3</f>
        <v>53.515625</v>
      </c>
      <c r="P3" s="3">
        <f t="shared" ref="P3:P26" si="5">100*N3/I3</f>
        <v>3.2924107142857144</v>
      </c>
      <c r="Q3">
        <v>741</v>
      </c>
      <c r="R3">
        <v>59</v>
      </c>
      <c r="S3">
        <v>897</v>
      </c>
      <c r="T3" s="3">
        <f t="shared" ref="T3:T26" si="6">R3+S3</f>
        <v>956</v>
      </c>
      <c r="U3" s="3">
        <f t="shared" ref="U3:U26" si="7">100*R3/T3</f>
        <v>6.1715481171548117</v>
      </c>
      <c r="V3">
        <v>18</v>
      </c>
      <c r="W3" s="3">
        <f t="shared" ref="W3:W26" si="8">100*V3/T3</f>
        <v>1.8828451882845187</v>
      </c>
      <c r="X3">
        <v>938</v>
      </c>
      <c r="Y3">
        <v>0</v>
      </c>
      <c r="Z3">
        <v>0</v>
      </c>
      <c r="AA3">
        <v>7</v>
      </c>
      <c r="AB3" s="3">
        <f t="shared" ref="AB3:AB26" si="9">100*AA3/$T3</f>
        <v>0.73221757322175729</v>
      </c>
      <c r="AC3">
        <v>50</v>
      </c>
      <c r="AD3" s="3">
        <f t="shared" ref="AD3:AD26" si="10">100*AC3/$T3</f>
        <v>5.2301255230125525</v>
      </c>
      <c r="AE3">
        <v>52</v>
      </c>
      <c r="AF3" s="3">
        <f t="shared" ref="AF3:AF26" si="11">100*AE3/$T3</f>
        <v>5.4393305439330542</v>
      </c>
      <c r="AG3">
        <v>43</v>
      </c>
      <c r="AH3" s="3">
        <f t="shared" ref="AH3:AH26" si="12">100*AG3/$T3</f>
        <v>4.497907949790795</v>
      </c>
      <c r="AI3">
        <v>196</v>
      </c>
      <c r="AJ3" s="3">
        <f t="shared" ref="AJ3:AJ26" si="13">100*AI3/$T3</f>
        <v>20.502092050209207</v>
      </c>
      <c r="AK3">
        <v>475</v>
      </c>
      <c r="AL3" s="3">
        <f t="shared" ref="AL3:AL26" si="14">100*AK3/$T3</f>
        <v>49.686192468619247</v>
      </c>
      <c r="AM3">
        <v>20</v>
      </c>
      <c r="AN3" s="3">
        <f t="shared" ref="AN3:AN26" si="15">100*AM3/$T3</f>
        <v>2.0920502092050208</v>
      </c>
      <c r="AO3">
        <v>11</v>
      </c>
      <c r="AP3" s="3">
        <f t="shared" ref="AP3:AP26" si="16">100*AO3/$T3</f>
        <v>1.1506276150627615</v>
      </c>
      <c r="AQ3">
        <v>21</v>
      </c>
      <c r="AR3" s="3">
        <f t="shared" ref="AR3:AR26" si="17">100*AQ3/$T3</f>
        <v>2.1966527196652721</v>
      </c>
      <c r="AS3">
        <v>63</v>
      </c>
      <c r="AT3" s="3">
        <f t="shared" ref="AT3:AT26" si="18">100*AS3/$T3</f>
        <v>6.5899581589958158</v>
      </c>
      <c r="AU3" t="s">
        <v>367</v>
      </c>
      <c r="AV3" s="72" t="str">
        <f>Дума_партии[[#This Row],[КОИБ]]</f>
        <v>N</v>
      </c>
      <c r="AW3" s="1" t="str">
        <f>IF(Дума_партии[[#This Row],[Наблюдателей]]=0,"",Дума_партии[[#This Row],[Наблюдателей]])</f>
        <v/>
      </c>
      <c r="AX3"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303.7534246575342</v>
      </c>
      <c r="AY3" s="10">
        <f>2*(Мособлдума_партии[[#This Row],[6. Всероссийская политическая партия "ЕДИНАЯ РОССИЯ"]]-(AB$203/100)*Мособлдума_партии[[#This Row],[Число действительных бюллетеней]])</f>
        <v>443.47999999999996</v>
      </c>
      <c r="AZ3" s="10">
        <f>(Мособлдума_партии[[#This Row],[Вброс]]+Мособлдума_партии[[#This Row],[Перекладывание]])/2</f>
        <v>373.61671232876711</v>
      </c>
    </row>
    <row r="4" spans="2:52" x14ac:dyDescent="0.4">
      <c r="B4" t="s">
        <v>74</v>
      </c>
      <c r="C4" t="s">
        <v>366</v>
      </c>
      <c r="D4" t="s">
        <v>128</v>
      </c>
      <c r="E4" t="s">
        <v>131</v>
      </c>
      <c r="F4" s="8">
        <f t="shared" ca="1" si="3"/>
        <v>214</v>
      </c>
      <c r="G4" s="8" t="str">
        <f>Дума_партии[[#This Row],[Местоположение]]</f>
        <v>Власиха</v>
      </c>
      <c r="H4" s="2" t="str">
        <f>LEFT(Мособлдума_партии[[#This Row],[tik]],4)&amp;"."&amp;IF(ISNUMBER(VALUE(RIGHT(Мособлдума_партии[[#This Row],[tik]]))),RIGHT(Мособлдума_партии[[#This Row],[tik]]),"")</f>
        <v>Влас.</v>
      </c>
      <c r="I4">
        <v>1987</v>
      </c>
      <c r="J4" s="8">
        <f>Мособлдума_партии[[#This Row],[Число избирателей, внесенных в список на момент окончания голосования]]</f>
        <v>1987</v>
      </c>
      <c r="K4">
        <v>2000</v>
      </c>
      <c r="L4" s="1"/>
      <c r="M4">
        <v>1015</v>
      </c>
      <c r="N4">
        <v>75</v>
      </c>
      <c r="O4" s="3">
        <f t="shared" si="4"/>
        <v>54.8565676899849</v>
      </c>
      <c r="P4" s="3">
        <f t="shared" si="5"/>
        <v>3.7745344740815301</v>
      </c>
      <c r="Q4">
        <v>910</v>
      </c>
      <c r="R4">
        <v>75</v>
      </c>
      <c r="S4">
        <v>1015</v>
      </c>
      <c r="T4" s="1">
        <f t="shared" si="6"/>
        <v>1090</v>
      </c>
      <c r="U4" s="3">
        <f t="shared" si="7"/>
        <v>6.8807339449541285</v>
      </c>
      <c r="V4">
        <v>22</v>
      </c>
      <c r="W4" s="3">
        <f t="shared" si="8"/>
        <v>2.0183486238532109</v>
      </c>
      <c r="X4">
        <v>1068</v>
      </c>
      <c r="Y4">
        <v>0</v>
      </c>
      <c r="Z4">
        <v>0</v>
      </c>
      <c r="AA4">
        <v>8</v>
      </c>
      <c r="AB4" s="3">
        <f t="shared" si="9"/>
        <v>0.73394495412844041</v>
      </c>
      <c r="AC4">
        <v>13</v>
      </c>
      <c r="AD4" s="3">
        <f t="shared" si="10"/>
        <v>1.1926605504587156</v>
      </c>
      <c r="AE4">
        <v>14</v>
      </c>
      <c r="AF4" s="3">
        <f t="shared" si="11"/>
        <v>1.2844036697247707</v>
      </c>
      <c r="AG4">
        <v>22</v>
      </c>
      <c r="AH4" s="3">
        <f t="shared" si="12"/>
        <v>2.0183486238532109</v>
      </c>
      <c r="AI4">
        <v>143</v>
      </c>
      <c r="AJ4" s="3">
        <f t="shared" si="13"/>
        <v>13.119266055045872</v>
      </c>
      <c r="AK4">
        <v>816</v>
      </c>
      <c r="AL4" s="3">
        <f t="shared" si="14"/>
        <v>74.862385321100916</v>
      </c>
      <c r="AM4">
        <v>14</v>
      </c>
      <c r="AN4" s="3">
        <f t="shared" si="15"/>
        <v>1.2844036697247707</v>
      </c>
      <c r="AO4">
        <v>11</v>
      </c>
      <c r="AP4" s="3">
        <f t="shared" si="16"/>
        <v>1.0091743119266054</v>
      </c>
      <c r="AQ4">
        <v>15</v>
      </c>
      <c r="AR4" s="3">
        <f t="shared" si="17"/>
        <v>1.3761467889908257</v>
      </c>
      <c r="AS4">
        <v>12</v>
      </c>
      <c r="AT4" s="3">
        <f t="shared" si="18"/>
        <v>1.1009174311926606</v>
      </c>
      <c r="AU4" t="s">
        <v>367</v>
      </c>
      <c r="AV4" s="72" t="str">
        <f>Дума_партии[[#This Row],[КОИБ]]</f>
        <v>N</v>
      </c>
      <c r="AW4" s="1" t="str">
        <f>IF(Дума_партии[[#This Row],[Наблюдателей]]=0,"",Дума_партии[[#This Row],[Наблюдателей]])</f>
        <v/>
      </c>
      <c r="AX4"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722.79452054794524</v>
      </c>
      <c r="AY4" s="10">
        <f>2*(Мособлдума_партии[[#This Row],[6. Всероссийская политическая партия "ЕДИНАЯ РОССИЯ"]]-(AB$203/100)*Мособлдума_партии[[#This Row],[Число действительных бюллетеней]])</f>
        <v>1055.28</v>
      </c>
      <c r="AZ4" s="10">
        <f>(Мособлдума_партии[[#This Row],[Вброс]]+Мособлдума_партии[[#This Row],[Перекладывание]])/2</f>
        <v>889.03726027397261</v>
      </c>
    </row>
    <row r="5" spans="2:52" x14ac:dyDescent="0.4">
      <c r="B5" t="s">
        <v>74</v>
      </c>
      <c r="C5" t="s">
        <v>366</v>
      </c>
      <c r="D5" t="s">
        <v>128</v>
      </c>
      <c r="E5" t="s">
        <v>132</v>
      </c>
      <c r="F5" s="8">
        <f t="shared" ca="1" si="3"/>
        <v>215</v>
      </c>
      <c r="G5" s="8" t="str">
        <f>Дума_партии[[#This Row],[Местоположение]]</f>
        <v>Власиха</v>
      </c>
      <c r="H5" s="2" t="str">
        <f>LEFT(Мособлдума_партии[[#This Row],[tik]],4)&amp;"."&amp;IF(ISNUMBER(VALUE(RIGHT(Мособлдума_партии[[#This Row],[tik]]))),RIGHT(Мособлдума_партии[[#This Row],[tik]]),"")</f>
        <v>Влас.</v>
      </c>
      <c r="I5">
        <v>2122</v>
      </c>
      <c r="J5" s="8">
        <f>Мособлдума_партии[[#This Row],[Число избирателей, внесенных в список на момент окончания голосования]]</f>
        <v>2122</v>
      </c>
      <c r="K5">
        <v>2100</v>
      </c>
      <c r="L5" s="1"/>
      <c r="M5">
        <v>1137</v>
      </c>
      <c r="N5">
        <v>23</v>
      </c>
      <c r="O5" s="3">
        <f t="shared" si="4"/>
        <v>54.665409990574929</v>
      </c>
      <c r="P5" s="3">
        <f t="shared" si="5"/>
        <v>1.0838831291234685</v>
      </c>
      <c r="Q5">
        <v>936</v>
      </c>
      <c r="R5">
        <v>23</v>
      </c>
      <c r="S5">
        <v>1133</v>
      </c>
      <c r="T5" s="1">
        <f t="shared" si="6"/>
        <v>1156</v>
      </c>
      <c r="U5" s="3">
        <f t="shared" si="7"/>
        <v>1.9896193771626298</v>
      </c>
      <c r="V5">
        <v>30</v>
      </c>
      <c r="W5" s="3">
        <f t="shared" si="8"/>
        <v>2.5951557093425603</v>
      </c>
      <c r="X5">
        <v>1126</v>
      </c>
      <c r="Y5">
        <v>4</v>
      </c>
      <c r="Z5">
        <v>0</v>
      </c>
      <c r="AA5">
        <v>2</v>
      </c>
      <c r="AB5" s="3">
        <f t="shared" si="9"/>
        <v>0.17301038062283736</v>
      </c>
      <c r="AC5">
        <v>16</v>
      </c>
      <c r="AD5" s="3">
        <f t="shared" si="10"/>
        <v>1.3840830449826989</v>
      </c>
      <c r="AE5">
        <v>10</v>
      </c>
      <c r="AF5" s="3">
        <f t="shared" si="11"/>
        <v>0.86505190311418689</v>
      </c>
      <c r="AG5">
        <v>21</v>
      </c>
      <c r="AH5" s="3">
        <f t="shared" si="12"/>
        <v>1.8166089965397925</v>
      </c>
      <c r="AI5">
        <v>225</v>
      </c>
      <c r="AJ5" s="3">
        <f t="shared" si="13"/>
        <v>19.463667820069205</v>
      </c>
      <c r="AK5">
        <v>791</v>
      </c>
      <c r="AL5" s="3">
        <f t="shared" si="14"/>
        <v>68.425605536332185</v>
      </c>
      <c r="AM5">
        <v>3</v>
      </c>
      <c r="AN5" s="3">
        <f t="shared" si="15"/>
        <v>0.25951557093425603</v>
      </c>
      <c r="AO5">
        <v>16</v>
      </c>
      <c r="AP5" s="3">
        <f t="shared" si="16"/>
        <v>1.3840830449826989</v>
      </c>
      <c r="AQ5">
        <v>21</v>
      </c>
      <c r="AR5" s="3">
        <f t="shared" si="17"/>
        <v>1.8166089965397925</v>
      </c>
      <c r="AS5">
        <v>21</v>
      </c>
      <c r="AT5" s="3">
        <f t="shared" si="18"/>
        <v>1.8166089965397925</v>
      </c>
      <c r="AU5" t="s">
        <v>367</v>
      </c>
      <c r="AV5" s="72" t="str">
        <f>Дума_партии[[#This Row],[КОИБ]]</f>
        <v>N</v>
      </c>
      <c r="AW5" s="1" t="str">
        <f>IF(Дума_партии[[#This Row],[Наблюдателей]]=0,"",Дума_партии[[#This Row],[Наблюдателей]])</f>
        <v/>
      </c>
      <c r="AX5"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667.09589041095887</v>
      </c>
      <c r="AY5" s="10">
        <f>2*(Мособлдума_партии[[#This Row],[6. Всероссийская политическая партия "ЕДИНАЯ РОССИЯ"]]-(AB$203/100)*Мособлдума_партии[[#This Row],[Число действительных бюллетеней]])</f>
        <v>973.95999999999992</v>
      </c>
      <c r="AZ5" s="10">
        <f>(Мособлдума_партии[[#This Row],[Вброс]]+Мособлдума_партии[[#This Row],[Перекладывание]])/2</f>
        <v>820.52794520547945</v>
      </c>
    </row>
    <row r="6" spans="2:52" x14ac:dyDescent="0.4">
      <c r="B6" t="s">
        <v>74</v>
      </c>
      <c r="C6" t="s">
        <v>366</v>
      </c>
      <c r="D6" t="s">
        <v>128</v>
      </c>
      <c r="E6" t="s">
        <v>133</v>
      </c>
      <c r="F6" s="8">
        <f t="shared" ca="1" si="3"/>
        <v>216</v>
      </c>
      <c r="G6" s="8" t="str">
        <f>Дума_партии[[#This Row],[Местоположение]]</f>
        <v>Власиха</v>
      </c>
      <c r="H6" s="2" t="str">
        <f>LEFT(Мособлдума_партии[[#This Row],[tik]],4)&amp;"."&amp;IF(ISNUMBER(VALUE(RIGHT(Мособлдума_партии[[#This Row],[tik]]))),RIGHT(Мособлдума_партии[[#This Row],[tik]]),"")</f>
        <v>Влас.</v>
      </c>
      <c r="I6">
        <v>1909</v>
      </c>
      <c r="J6" s="8">
        <f>Мособлдума_партии[[#This Row],[Число избирателей, внесенных в список на момент окончания голосования]]</f>
        <v>1909</v>
      </c>
      <c r="K6">
        <v>1900</v>
      </c>
      <c r="L6" s="1"/>
      <c r="M6">
        <v>828</v>
      </c>
      <c r="N6">
        <v>96</v>
      </c>
      <c r="O6" s="3">
        <f t="shared" si="4"/>
        <v>48.402304871660554</v>
      </c>
      <c r="P6" s="3">
        <f t="shared" si="5"/>
        <v>5.0288108957569406</v>
      </c>
      <c r="Q6">
        <v>976</v>
      </c>
      <c r="R6">
        <v>96</v>
      </c>
      <c r="S6">
        <v>824</v>
      </c>
      <c r="T6" s="1">
        <f t="shared" si="6"/>
        <v>920</v>
      </c>
      <c r="U6" s="3">
        <f t="shared" si="7"/>
        <v>10.434782608695652</v>
      </c>
      <c r="V6">
        <v>31</v>
      </c>
      <c r="W6" s="3">
        <f t="shared" si="8"/>
        <v>3.3695652173913042</v>
      </c>
      <c r="X6">
        <v>889</v>
      </c>
      <c r="Y6">
        <v>0</v>
      </c>
      <c r="Z6">
        <v>0</v>
      </c>
      <c r="AA6">
        <v>15</v>
      </c>
      <c r="AB6" s="3">
        <f t="shared" si="9"/>
        <v>1.6304347826086956</v>
      </c>
      <c r="AC6">
        <v>89</v>
      </c>
      <c r="AD6" s="3">
        <f t="shared" si="10"/>
        <v>9.6739130434782616</v>
      </c>
      <c r="AE6">
        <v>82</v>
      </c>
      <c r="AF6" s="3">
        <f t="shared" si="11"/>
        <v>8.9130434782608692</v>
      </c>
      <c r="AG6">
        <v>59</v>
      </c>
      <c r="AH6" s="3">
        <f t="shared" si="12"/>
        <v>6.4130434782608692</v>
      </c>
      <c r="AI6">
        <v>194</v>
      </c>
      <c r="AJ6" s="3">
        <f t="shared" si="13"/>
        <v>21.086956521739129</v>
      </c>
      <c r="AK6">
        <v>293</v>
      </c>
      <c r="AL6" s="3">
        <f t="shared" si="14"/>
        <v>31.847826086956523</v>
      </c>
      <c r="AM6">
        <v>31</v>
      </c>
      <c r="AN6" s="3">
        <f t="shared" si="15"/>
        <v>3.3695652173913042</v>
      </c>
      <c r="AO6">
        <v>18</v>
      </c>
      <c r="AP6" s="3">
        <f t="shared" si="16"/>
        <v>1.9565217391304348</v>
      </c>
      <c r="AQ6">
        <v>17</v>
      </c>
      <c r="AR6" s="3">
        <f t="shared" si="17"/>
        <v>1.8478260869565217</v>
      </c>
      <c r="AS6">
        <v>91</v>
      </c>
      <c r="AT6" s="3">
        <f t="shared" si="18"/>
        <v>9.8913043478260878</v>
      </c>
      <c r="AU6" t="s">
        <v>367</v>
      </c>
      <c r="AV6" s="72" t="str">
        <f>Дума_партии[[#This Row],[КОИБ]]</f>
        <v>N</v>
      </c>
      <c r="AW6" s="1" t="str">
        <f>IF(Дума_партии[[#This Row],[Наблюдателей]]=0,"",Дума_партии[[#This Row],[Наблюдателей]])</f>
        <v/>
      </c>
      <c r="AX6"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72.561643835616422</v>
      </c>
      <c r="AY6" s="10">
        <f>2*(Мособлдума_партии[[#This Row],[6. Всероссийская политическая партия "ЕДИНАЯ РОССИЯ"]]-(AB$203/100)*Мособлдума_партии[[#This Row],[Число действительных бюллетеней]])</f>
        <v>105.93999999999994</v>
      </c>
      <c r="AZ6" s="10">
        <f>(Мособлдума_партии[[#This Row],[Вброс]]+Мособлдума_партии[[#This Row],[Перекладывание]])/2</f>
        <v>89.250821917808182</v>
      </c>
    </row>
    <row r="7" spans="2:52" x14ac:dyDescent="0.4">
      <c r="B7" t="s">
        <v>74</v>
      </c>
      <c r="C7" t="s">
        <v>366</v>
      </c>
      <c r="D7" t="s">
        <v>128</v>
      </c>
      <c r="E7" t="s">
        <v>134</v>
      </c>
      <c r="F7" s="8">
        <f t="shared" ca="1" si="3"/>
        <v>217</v>
      </c>
      <c r="G7" s="8" t="str">
        <f>Дума_партии[[#This Row],[Местоположение]]</f>
        <v>Власиха</v>
      </c>
      <c r="H7" s="2" t="str">
        <f>LEFT(Мособлдума_партии[[#This Row],[tik]],4)&amp;"."&amp;IF(ISNUMBER(VALUE(RIGHT(Мособлдума_партии[[#This Row],[tik]]))),RIGHT(Мособлдума_партии[[#This Row],[tik]]),"")</f>
        <v>Влас.</v>
      </c>
      <c r="I7">
        <v>1948</v>
      </c>
      <c r="J7" s="8">
        <f>Мособлдума_партии[[#This Row],[Число избирателей, внесенных в список на момент окончания голосования]]</f>
        <v>1948</v>
      </c>
      <c r="K7">
        <v>1900</v>
      </c>
      <c r="L7" s="1"/>
      <c r="M7">
        <v>878</v>
      </c>
      <c r="N7">
        <v>103</v>
      </c>
      <c r="O7" s="3">
        <f t="shared" si="4"/>
        <v>50.359342915811091</v>
      </c>
      <c r="P7" s="3">
        <f t="shared" si="5"/>
        <v>5.2874743326488707</v>
      </c>
      <c r="Q7">
        <v>919</v>
      </c>
      <c r="R7">
        <v>103</v>
      </c>
      <c r="S7">
        <v>876</v>
      </c>
      <c r="T7" s="1">
        <f t="shared" si="6"/>
        <v>979</v>
      </c>
      <c r="U7" s="3">
        <f t="shared" si="7"/>
        <v>10.52093973442288</v>
      </c>
      <c r="V7">
        <v>11</v>
      </c>
      <c r="W7" s="3">
        <f t="shared" si="8"/>
        <v>1.1235955056179776</v>
      </c>
      <c r="X7">
        <v>968</v>
      </c>
      <c r="Y7">
        <v>0</v>
      </c>
      <c r="Z7">
        <v>0</v>
      </c>
      <c r="AA7">
        <v>19</v>
      </c>
      <c r="AB7" s="3">
        <f t="shared" si="9"/>
        <v>1.9407558733401431</v>
      </c>
      <c r="AC7">
        <v>67</v>
      </c>
      <c r="AD7" s="3">
        <f t="shared" si="10"/>
        <v>6.8437180796731356</v>
      </c>
      <c r="AE7">
        <v>55</v>
      </c>
      <c r="AF7" s="3">
        <f t="shared" si="11"/>
        <v>5.617977528089888</v>
      </c>
      <c r="AG7">
        <v>48</v>
      </c>
      <c r="AH7" s="3">
        <f t="shared" si="12"/>
        <v>4.902962206332993</v>
      </c>
      <c r="AI7">
        <v>210</v>
      </c>
      <c r="AJ7" s="3">
        <f t="shared" si="13"/>
        <v>21.450459652706844</v>
      </c>
      <c r="AK7">
        <v>451</v>
      </c>
      <c r="AL7" s="3">
        <f t="shared" si="14"/>
        <v>46.067415730337082</v>
      </c>
      <c r="AM7">
        <v>15</v>
      </c>
      <c r="AN7" s="3">
        <f t="shared" si="15"/>
        <v>1.5321756894790604</v>
      </c>
      <c r="AO7">
        <v>15</v>
      </c>
      <c r="AP7" s="3">
        <f t="shared" si="16"/>
        <v>1.5321756894790604</v>
      </c>
      <c r="AQ7">
        <v>29</v>
      </c>
      <c r="AR7" s="3">
        <f t="shared" si="17"/>
        <v>2.9622063329928499</v>
      </c>
      <c r="AS7">
        <v>59</v>
      </c>
      <c r="AT7" s="3">
        <f t="shared" si="18"/>
        <v>6.0265577119509706</v>
      </c>
      <c r="AU7" t="s">
        <v>367</v>
      </c>
      <c r="AV7" s="72" t="str">
        <f>Дума_партии[[#This Row],[КОИБ]]</f>
        <v>N</v>
      </c>
      <c r="AW7" s="1" t="str">
        <f>IF(Дума_партии[[#This Row],[Наблюдателей]]=0,"",Дума_партии[[#This Row],[Наблюдателей]])</f>
        <v/>
      </c>
      <c r="AX7"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259.78082191780823</v>
      </c>
      <c r="AY7" s="10">
        <f>2*(Мособлдума_партии[[#This Row],[6. Всероссийская политическая партия "ЕДИНАЯ РОССИЯ"]]-(AB$203/100)*Мособлдума_партии[[#This Row],[Число действительных бюллетеней]])</f>
        <v>379.28</v>
      </c>
      <c r="AZ7" s="10">
        <f>(Мособлдума_партии[[#This Row],[Вброс]]+Мособлдума_партии[[#This Row],[Перекладывание]])/2</f>
        <v>319.5304109589041</v>
      </c>
    </row>
    <row r="8" spans="2:52" x14ac:dyDescent="0.4">
      <c r="B8" t="s">
        <v>74</v>
      </c>
      <c r="C8" t="s">
        <v>366</v>
      </c>
      <c r="D8" t="s">
        <v>128</v>
      </c>
      <c r="E8" t="s">
        <v>135</v>
      </c>
      <c r="F8" s="8">
        <f t="shared" ca="1" si="3"/>
        <v>218</v>
      </c>
      <c r="G8" s="8" t="str">
        <f>Дума_партии[[#This Row],[Местоположение]]</f>
        <v>Власиха</v>
      </c>
      <c r="H8" s="2" t="str">
        <f>LEFT(Мособлдума_партии[[#This Row],[tik]],4)&amp;"."&amp;IF(ISNUMBER(VALUE(RIGHT(Мособлдума_партии[[#This Row],[tik]]))),RIGHT(Мособлдума_партии[[#This Row],[tik]]),"")</f>
        <v>Влас.</v>
      </c>
      <c r="I8">
        <v>1966</v>
      </c>
      <c r="J8" s="8">
        <f>Мособлдума_партии[[#This Row],[Число избирателей, внесенных в список на момент окончания голосования]]</f>
        <v>1966</v>
      </c>
      <c r="K8">
        <v>1900</v>
      </c>
      <c r="L8" s="1"/>
      <c r="M8">
        <v>1027</v>
      </c>
      <c r="N8">
        <v>143</v>
      </c>
      <c r="O8" s="3">
        <f t="shared" si="4"/>
        <v>59.511698880976603</v>
      </c>
      <c r="P8" s="3">
        <f t="shared" si="5"/>
        <v>7.2736520854526958</v>
      </c>
      <c r="Q8">
        <v>730</v>
      </c>
      <c r="R8">
        <v>143</v>
      </c>
      <c r="S8">
        <v>1027</v>
      </c>
      <c r="T8" s="1">
        <f t="shared" si="6"/>
        <v>1170</v>
      </c>
      <c r="U8" s="3">
        <f t="shared" si="7"/>
        <v>12.222222222222221</v>
      </c>
      <c r="V8">
        <v>117</v>
      </c>
      <c r="W8" s="3">
        <f t="shared" si="8"/>
        <v>10</v>
      </c>
      <c r="X8">
        <v>1053</v>
      </c>
      <c r="Y8">
        <v>0</v>
      </c>
      <c r="Z8">
        <v>0</v>
      </c>
      <c r="AA8">
        <v>13</v>
      </c>
      <c r="AB8" s="3">
        <f t="shared" si="9"/>
        <v>1.1111111111111112</v>
      </c>
      <c r="AC8">
        <v>131</v>
      </c>
      <c r="AD8" s="3">
        <f t="shared" si="10"/>
        <v>11.196581196581196</v>
      </c>
      <c r="AE8">
        <v>104</v>
      </c>
      <c r="AF8" s="3">
        <f t="shared" si="11"/>
        <v>8.8888888888888893</v>
      </c>
      <c r="AG8">
        <v>22</v>
      </c>
      <c r="AH8" s="3">
        <f t="shared" si="12"/>
        <v>1.8803418803418803</v>
      </c>
      <c r="AI8">
        <v>147</v>
      </c>
      <c r="AJ8" s="3">
        <f t="shared" si="13"/>
        <v>12.564102564102564</v>
      </c>
      <c r="AK8">
        <v>496</v>
      </c>
      <c r="AL8" s="3">
        <f t="shared" si="14"/>
        <v>42.393162393162392</v>
      </c>
      <c r="AM8">
        <v>27</v>
      </c>
      <c r="AN8" s="3">
        <f t="shared" si="15"/>
        <v>2.3076923076923075</v>
      </c>
      <c r="AO8">
        <v>22</v>
      </c>
      <c r="AP8" s="3">
        <f t="shared" si="16"/>
        <v>1.8803418803418803</v>
      </c>
      <c r="AQ8">
        <v>22</v>
      </c>
      <c r="AR8" s="3">
        <f t="shared" si="17"/>
        <v>1.8803418803418803</v>
      </c>
      <c r="AS8">
        <v>69</v>
      </c>
      <c r="AT8" s="3">
        <f t="shared" si="18"/>
        <v>5.8974358974358978</v>
      </c>
      <c r="AU8" t="s">
        <v>367</v>
      </c>
      <c r="AV8" s="72" t="str">
        <f>Дума_партии[[#This Row],[КОИБ]]</f>
        <v>N</v>
      </c>
      <c r="AW8" s="1" t="str">
        <f>IF(Дума_партии[[#This Row],[Наблюдателей]]=0,"",Дума_партии[[#This Row],[Наблюдателей]])</f>
        <v/>
      </c>
      <c r="AX8"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289.98630136986299</v>
      </c>
      <c r="AY8" s="10">
        <f>2*(Мособлдума_партии[[#This Row],[6. Всероссийская политическая партия "ЕДИНАЯ РОССИЯ"]]-(AB$203/100)*Мособлдума_партии[[#This Row],[Число действительных бюллетеней]])</f>
        <v>423.38</v>
      </c>
      <c r="AZ8" s="10">
        <f>(Мособлдума_партии[[#This Row],[Вброс]]+Мособлдума_партии[[#This Row],[Перекладывание]])/2</f>
        <v>356.68315068493149</v>
      </c>
    </row>
    <row r="9" spans="2:52" x14ac:dyDescent="0.4">
      <c r="B9" t="s">
        <v>74</v>
      </c>
      <c r="C9" t="s">
        <v>366</v>
      </c>
      <c r="D9" t="s">
        <v>128</v>
      </c>
      <c r="E9" t="s">
        <v>136</v>
      </c>
      <c r="F9" s="8">
        <f t="shared" ca="1" si="3"/>
        <v>219</v>
      </c>
      <c r="G9" s="8" t="str">
        <f>Дума_партии[[#This Row],[Местоположение]]</f>
        <v>Власиха</v>
      </c>
      <c r="H9" s="2" t="str">
        <f>LEFT(Мособлдума_партии[[#This Row],[tik]],4)&amp;"."&amp;IF(ISNUMBER(VALUE(RIGHT(Мособлдума_партии[[#This Row],[tik]]))),RIGHT(Мособлдума_партии[[#This Row],[tik]]),"")</f>
        <v>Влас.</v>
      </c>
      <c r="I9">
        <v>1755</v>
      </c>
      <c r="J9" s="8">
        <f>Мособлдума_партии[[#This Row],[Число избирателей, внесенных в список на момент окончания голосования]]</f>
        <v>1755</v>
      </c>
      <c r="K9">
        <v>1700</v>
      </c>
      <c r="L9" s="1"/>
      <c r="M9">
        <v>1230</v>
      </c>
      <c r="N9">
        <v>53</v>
      </c>
      <c r="O9" s="3">
        <f t="shared" si="4"/>
        <v>73.105413105413106</v>
      </c>
      <c r="P9" s="3">
        <f t="shared" si="5"/>
        <v>3.0199430199430197</v>
      </c>
      <c r="Q9">
        <v>408</v>
      </c>
      <c r="R9">
        <v>53</v>
      </c>
      <c r="S9">
        <v>1221</v>
      </c>
      <c r="T9" s="1">
        <f t="shared" si="6"/>
        <v>1274</v>
      </c>
      <c r="U9" s="3">
        <f t="shared" si="7"/>
        <v>4.1601255886970172</v>
      </c>
      <c r="V9">
        <v>20</v>
      </c>
      <c r="W9" s="3">
        <f t="shared" si="8"/>
        <v>1.5698587127158556</v>
      </c>
      <c r="X9">
        <v>1254</v>
      </c>
      <c r="Y9">
        <v>9</v>
      </c>
      <c r="Z9">
        <v>0</v>
      </c>
      <c r="AA9">
        <v>12</v>
      </c>
      <c r="AB9" s="3">
        <f t="shared" si="9"/>
        <v>0.9419152276295133</v>
      </c>
      <c r="AC9">
        <v>57</v>
      </c>
      <c r="AD9" s="3">
        <f t="shared" si="10"/>
        <v>4.4740973312401886</v>
      </c>
      <c r="AE9">
        <v>57</v>
      </c>
      <c r="AF9" s="3">
        <f t="shared" si="11"/>
        <v>4.4740973312401886</v>
      </c>
      <c r="AG9">
        <v>37</v>
      </c>
      <c r="AH9" s="3">
        <f t="shared" si="12"/>
        <v>2.904238618524333</v>
      </c>
      <c r="AI9">
        <v>198</v>
      </c>
      <c r="AJ9" s="3">
        <f t="shared" si="13"/>
        <v>15.54160125588697</v>
      </c>
      <c r="AK9">
        <v>744</v>
      </c>
      <c r="AL9" s="3">
        <f t="shared" si="14"/>
        <v>58.398744113029828</v>
      </c>
      <c r="AM9">
        <v>23</v>
      </c>
      <c r="AN9" s="3">
        <f t="shared" si="15"/>
        <v>1.805337519623234</v>
      </c>
      <c r="AO9">
        <v>14</v>
      </c>
      <c r="AP9" s="3">
        <f t="shared" si="16"/>
        <v>1.098901098901099</v>
      </c>
      <c r="AQ9">
        <v>30</v>
      </c>
      <c r="AR9" s="3">
        <f t="shared" si="17"/>
        <v>2.3547880690737832</v>
      </c>
      <c r="AS9">
        <v>82</v>
      </c>
      <c r="AT9" s="3">
        <f t="shared" si="18"/>
        <v>6.4364207221350078</v>
      </c>
      <c r="AU9" t="s">
        <v>367</v>
      </c>
      <c r="AV9" s="72" t="str">
        <f>Дума_партии[[#This Row],[КОИБ]]</f>
        <v>N</v>
      </c>
      <c r="AW9" s="1" t="str">
        <f>IF(Дума_партии[[#This Row],[Наблюдателей]]=0,"",Дума_партии[[#This Row],[Наблюдателей]])</f>
        <v/>
      </c>
      <c r="AX9"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555.36986301369859</v>
      </c>
      <c r="AY9" s="10">
        <f>2*(Мособлдума_партии[[#This Row],[6. Всероссийская политическая партия "ЕДИНАЯ РОССИЯ"]]-(AB$203/100)*Мособлдума_партии[[#This Row],[Число действительных бюллетеней]])</f>
        <v>810.83999999999992</v>
      </c>
      <c r="AZ9" s="10">
        <f>(Мособлдума_партии[[#This Row],[Вброс]]+Мособлдума_партии[[#This Row],[Перекладывание]])/2</f>
        <v>683.1049315068492</v>
      </c>
    </row>
    <row r="10" spans="2:52" x14ac:dyDescent="0.4">
      <c r="B10" t="s">
        <v>74</v>
      </c>
      <c r="C10" t="s">
        <v>366</v>
      </c>
      <c r="D10" t="s">
        <v>128</v>
      </c>
      <c r="E10" t="s">
        <v>137</v>
      </c>
      <c r="F10" s="8">
        <f t="shared" ca="1" si="3"/>
        <v>220</v>
      </c>
      <c r="G10" s="8" t="str">
        <f>Дума_партии[[#This Row],[Местоположение]]</f>
        <v>Власиха</v>
      </c>
      <c r="H10" s="2" t="str">
        <f>LEFT(Мособлдума_партии[[#This Row],[tik]],4)&amp;"."&amp;IF(ISNUMBER(VALUE(RIGHT(Мособлдума_партии[[#This Row],[tik]]))),RIGHT(Мособлдума_партии[[#This Row],[tik]]),"")</f>
        <v>Влас.</v>
      </c>
      <c r="I10">
        <v>2053</v>
      </c>
      <c r="J10" s="8">
        <f>Мособлдума_партии[[#This Row],[Число избирателей, внесенных в список на момент окончания голосования]]</f>
        <v>2053</v>
      </c>
      <c r="K10">
        <v>2100</v>
      </c>
      <c r="L10" s="1"/>
      <c r="M10">
        <v>1331</v>
      </c>
      <c r="N10">
        <v>139</v>
      </c>
      <c r="O10" s="3">
        <f t="shared" si="4"/>
        <v>71.602532878714072</v>
      </c>
      <c r="P10" s="3">
        <f t="shared" si="5"/>
        <v>6.7705796395518751</v>
      </c>
      <c r="Q10">
        <v>630</v>
      </c>
      <c r="R10">
        <v>139</v>
      </c>
      <c r="S10">
        <v>1331</v>
      </c>
      <c r="T10" s="1">
        <f t="shared" si="6"/>
        <v>1470</v>
      </c>
      <c r="U10" s="3">
        <f t="shared" si="7"/>
        <v>9.4557823129251695</v>
      </c>
      <c r="V10">
        <v>28</v>
      </c>
      <c r="W10" s="3">
        <f t="shared" si="8"/>
        <v>1.9047619047619047</v>
      </c>
      <c r="X10">
        <v>1442</v>
      </c>
      <c r="Y10">
        <v>0</v>
      </c>
      <c r="Z10">
        <v>0</v>
      </c>
      <c r="AA10">
        <v>9</v>
      </c>
      <c r="AB10" s="3">
        <f t="shared" si="9"/>
        <v>0.61224489795918369</v>
      </c>
      <c r="AC10">
        <v>72</v>
      </c>
      <c r="AD10" s="3">
        <f t="shared" si="10"/>
        <v>4.8979591836734695</v>
      </c>
      <c r="AE10">
        <v>92</v>
      </c>
      <c r="AF10" s="3">
        <f t="shared" si="11"/>
        <v>6.2585034013605441</v>
      </c>
      <c r="AG10">
        <v>45</v>
      </c>
      <c r="AH10" s="3">
        <f t="shared" si="12"/>
        <v>3.0612244897959182</v>
      </c>
      <c r="AI10">
        <v>202</v>
      </c>
      <c r="AJ10" s="3">
        <f t="shared" si="13"/>
        <v>13.741496598639456</v>
      </c>
      <c r="AK10">
        <v>770</v>
      </c>
      <c r="AL10" s="3">
        <f t="shared" si="14"/>
        <v>52.38095238095238</v>
      </c>
      <c r="AM10">
        <v>29</v>
      </c>
      <c r="AN10" s="3">
        <f t="shared" si="15"/>
        <v>1.9727891156462585</v>
      </c>
      <c r="AO10">
        <v>19</v>
      </c>
      <c r="AP10" s="3">
        <f t="shared" si="16"/>
        <v>1.2925170068027212</v>
      </c>
      <c r="AQ10">
        <v>123</v>
      </c>
      <c r="AR10" s="3">
        <f t="shared" si="17"/>
        <v>8.3673469387755102</v>
      </c>
      <c r="AS10">
        <v>81</v>
      </c>
      <c r="AT10" s="3">
        <f t="shared" si="18"/>
        <v>5.5102040816326534</v>
      </c>
      <c r="AU10" t="s">
        <v>367</v>
      </c>
      <c r="AV10" s="72" t="str">
        <f>Дума_партии[[#This Row],[КОИБ]]</f>
        <v>N</v>
      </c>
      <c r="AW10" s="1" t="str">
        <f>IF(Дума_партии[[#This Row],[Наблюдателей]]=0,"",Дума_партии[[#This Row],[Наблюдателей]])</f>
        <v/>
      </c>
      <c r="AX10"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521.45205479452056</v>
      </c>
      <c r="AY10" s="10">
        <f>2*(Мособлдума_партии[[#This Row],[6. Всероссийская политическая партия "ЕДИНАЯ РОССИЯ"]]-(AB$203/100)*Мособлдума_партии[[#This Row],[Число действительных бюллетеней]])</f>
        <v>761.31999999999994</v>
      </c>
      <c r="AZ10" s="10">
        <f>(Мособлдума_партии[[#This Row],[Вброс]]+Мособлдума_партии[[#This Row],[Перекладывание]])/2</f>
        <v>641.38602739726025</v>
      </c>
    </row>
    <row r="11" spans="2:52" x14ac:dyDescent="0.4">
      <c r="B11" t="s">
        <v>74</v>
      </c>
      <c r="C11" t="s">
        <v>366</v>
      </c>
      <c r="D11" t="s">
        <v>138</v>
      </c>
      <c r="E11" t="s">
        <v>139</v>
      </c>
      <c r="F11" s="8">
        <f t="shared" ca="1" si="3"/>
        <v>693</v>
      </c>
      <c r="G11" s="8" t="str">
        <f>Дума_партии[[#This Row],[Местоположение]]</f>
        <v>Звенигород</v>
      </c>
      <c r="H11" s="2" t="str">
        <f>LEFT(Мособлдума_партии[[#This Row],[tik]],4)&amp;"."&amp;IF(ISNUMBER(VALUE(RIGHT(Мособлдума_партии[[#This Row],[tik]]))),RIGHT(Мособлдума_партии[[#This Row],[tik]]),"")</f>
        <v>Один.</v>
      </c>
      <c r="I11">
        <v>2353</v>
      </c>
      <c r="J11" s="8">
        <f>Мособлдума_партии[[#This Row],[Число избирателей, внесенных в список на момент окончания голосования]]</f>
        <v>2353</v>
      </c>
      <c r="K11">
        <v>2000</v>
      </c>
      <c r="L11" s="1"/>
      <c r="M11">
        <v>668</v>
      </c>
      <c r="N11">
        <v>182</v>
      </c>
      <c r="O11" s="3">
        <f t="shared" si="4"/>
        <v>36.124096897577559</v>
      </c>
      <c r="P11" s="3">
        <f t="shared" si="5"/>
        <v>7.7348066298342539</v>
      </c>
      <c r="Q11">
        <v>1150</v>
      </c>
      <c r="R11">
        <v>171</v>
      </c>
      <c r="S11">
        <v>668</v>
      </c>
      <c r="T11" s="1">
        <f t="shared" si="6"/>
        <v>839</v>
      </c>
      <c r="U11" s="3">
        <f t="shared" si="7"/>
        <v>20.381406436233611</v>
      </c>
      <c r="V11">
        <v>45</v>
      </c>
      <c r="W11" s="3">
        <f t="shared" si="8"/>
        <v>5.3635280095351607</v>
      </c>
      <c r="X11">
        <v>794</v>
      </c>
      <c r="Y11">
        <v>0</v>
      </c>
      <c r="Z11">
        <v>0</v>
      </c>
      <c r="AA11">
        <v>21</v>
      </c>
      <c r="AB11" s="3">
        <f t="shared" si="9"/>
        <v>2.5029797377830749</v>
      </c>
      <c r="AC11">
        <v>75</v>
      </c>
      <c r="AD11" s="3">
        <f t="shared" si="10"/>
        <v>8.9392133492252679</v>
      </c>
      <c r="AE11">
        <v>47</v>
      </c>
      <c r="AF11" s="3">
        <f t="shared" si="11"/>
        <v>5.6019070321811677</v>
      </c>
      <c r="AG11">
        <v>47</v>
      </c>
      <c r="AH11" s="3">
        <f t="shared" si="12"/>
        <v>5.6019070321811677</v>
      </c>
      <c r="AI11">
        <v>168</v>
      </c>
      <c r="AJ11" s="3">
        <f t="shared" si="13"/>
        <v>20.023837902264599</v>
      </c>
      <c r="AK11">
        <v>284</v>
      </c>
      <c r="AL11" s="3">
        <f t="shared" si="14"/>
        <v>33.849821215733016</v>
      </c>
      <c r="AM11">
        <v>23</v>
      </c>
      <c r="AN11" s="3">
        <f t="shared" si="15"/>
        <v>2.7413587604290823</v>
      </c>
      <c r="AO11">
        <v>20</v>
      </c>
      <c r="AP11" s="3">
        <f t="shared" si="16"/>
        <v>2.3837902264600714</v>
      </c>
      <c r="AQ11">
        <v>35</v>
      </c>
      <c r="AR11" s="3">
        <f t="shared" si="17"/>
        <v>4.171632896305125</v>
      </c>
      <c r="AS11">
        <v>74</v>
      </c>
      <c r="AT11" s="3">
        <f t="shared" si="18"/>
        <v>8.820023837902264</v>
      </c>
      <c r="AU11" t="s">
        <v>368</v>
      </c>
      <c r="AV11" s="72">
        <f>Дума_партии[[#This Row],[КОИБ]]</f>
        <v>2017</v>
      </c>
      <c r="AW11" s="1" t="str">
        <f>IF(Дума_партии[[#This Row],[Наблюдателей]]=0,"",Дума_партии[[#This Row],[Наблюдателей]])</f>
        <v/>
      </c>
      <c r="AX11"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95.36986301369862</v>
      </c>
      <c r="AY11" s="10">
        <f>2*(Мособлдума_партии[[#This Row],[6. Всероссийская политическая партия "ЕДИНАЯ РОССИЯ"]]-(AB$203/100)*Мособлдума_партии[[#This Row],[Число действительных бюллетеней]])</f>
        <v>139.23999999999995</v>
      </c>
      <c r="AZ11" s="10">
        <f>(Мособлдума_партии[[#This Row],[Вброс]]+Мособлдума_партии[[#This Row],[Перекладывание]])/2</f>
        <v>117.30493150684929</v>
      </c>
    </row>
    <row r="12" spans="2:52" x14ac:dyDescent="0.4">
      <c r="B12" t="s">
        <v>74</v>
      </c>
      <c r="C12" t="s">
        <v>366</v>
      </c>
      <c r="D12" t="s">
        <v>138</v>
      </c>
      <c r="E12" t="s">
        <v>140</v>
      </c>
      <c r="F12" s="8">
        <f t="shared" ca="1" si="3"/>
        <v>694</v>
      </c>
      <c r="G12" s="8" t="str">
        <f>Дума_партии[[#This Row],[Местоположение]]</f>
        <v>Звенигород</v>
      </c>
      <c r="H12" s="2" t="str">
        <f>LEFT(Мособлдума_партии[[#This Row],[tik]],4)&amp;"."&amp;IF(ISNUMBER(VALUE(RIGHT(Мособлдума_партии[[#This Row],[tik]]))),RIGHT(Мособлдума_партии[[#This Row],[tik]]),"")</f>
        <v>Один.</v>
      </c>
      <c r="I12">
        <v>2236</v>
      </c>
      <c r="J12" s="8">
        <f>Мособлдума_партии[[#This Row],[Число избирателей, внесенных в список на момент окончания голосования]]</f>
        <v>2236</v>
      </c>
      <c r="K12">
        <v>2000</v>
      </c>
      <c r="L12" s="1"/>
      <c r="M12">
        <v>557</v>
      </c>
      <c r="N12">
        <v>11</v>
      </c>
      <c r="O12" s="3">
        <f t="shared" si="4"/>
        <v>25.402504472271914</v>
      </c>
      <c r="P12" s="3">
        <f t="shared" si="5"/>
        <v>0.49194991055456172</v>
      </c>
      <c r="Q12">
        <v>1432</v>
      </c>
      <c r="R12">
        <v>11</v>
      </c>
      <c r="S12">
        <v>557</v>
      </c>
      <c r="T12" s="1">
        <f t="shared" si="6"/>
        <v>568</v>
      </c>
      <c r="U12" s="3">
        <f t="shared" si="7"/>
        <v>1.9366197183098592</v>
      </c>
      <c r="V12">
        <v>34</v>
      </c>
      <c r="W12" s="3">
        <f t="shared" si="8"/>
        <v>5.9859154929577461</v>
      </c>
      <c r="X12">
        <v>534</v>
      </c>
      <c r="Y12">
        <v>0</v>
      </c>
      <c r="Z12">
        <v>0</v>
      </c>
      <c r="AA12">
        <v>6</v>
      </c>
      <c r="AB12" s="3">
        <f t="shared" si="9"/>
        <v>1.056338028169014</v>
      </c>
      <c r="AC12">
        <v>46</v>
      </c>
      <c r="AD12" s="3">
        <f t="shared" si="10"/>
        <v>8.0985915492957741</v>
      </c>
      <c r="AE12">
        <v>29</v>
      </c>
      <c r="AF12" s="3">
        <f t="shared" si="11"/>
        <v>5.105633802816901</v>
      </c>
      <c r="AG12">
        <v>15</v>
      </c>
      <c r="AH12" s="3">
        <f t="shared" si="12"/>
        <v>2.640845070422535</v>
      </c>
      <c r="AI12">
        <v>166</v>
      </c>
      <c r="AJ12" s="3">
        <f t="shared" si="13"/>
        <v>29.225352112676056</v>
      </c>
      <c r="AK12">
        <v>130</v>
      </c>
      <c r="AL12" s="3">
        <f t="shared" si="14"/>
        <v>22.887323943661972</v>
      </c>
      <c r="AM12">
        <v>19</v>
      </c>
      <c r="AN12" s="3">
        <f t="shared" si="15"/>
        <v>3.3450704225352115</v>
      </c>
      <c r="AO12">
        <v>20</v>
      </c>
      <c r="AP12" s="3">
        <f t="shared" si="16"/>
        <v>3.5211267605633805</v>
      </c>
      <c r="AQ12">
        <v>36</v>
      </c>
      <c r="AR12" s="3">
        <f t="shared" si="17"/>
        <v>6.3380281690140849</v>
      </c>
      <c r="AS12">
        <v>67</v>
      </c>
      <c r="AT12" s="3">
        <f t="shared" si="18"/>
        <v>11.795774647887324</v>
      </c>
      <c r="AU12" t="s">
        <v>368</v>
      </c>
      <c r="AV12" s="72">
        <f>Дума_партии[[#This Row],[КОИБ]]</f>
        <v>2017</v>
      </c>
      <c r="AW12" s="1" t="str">
        <f>IF(Дума_партии[[#This Row],[Наблюдателей]]=0,"",Дума_партии[[#This Row],[Наблюдателей]])</f>
        <v/>
      </c>
      <c r="AX12"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-19.424657534246592</v>
      </c>
      <c r="AY12" s="10">
        <f>2*(Мособлдума_партии[[#This Row],[6. Всероссийская политическая партия "ЕДИНАЯ РОССИЯ"]]-(AB$203/100)*Мособлдума_партии[[#This Row],[Число действительных бюллетеней]])</f>
        <v>-28.360000000000014</v>
      </c>
      <c r="AZ12" s="10">
        <f>(Мособлдума_партии[[#This Row],[Вброс]]+Мособлдума_партии[[#This Row],[Перекладывание]])/2</f>
        <v>-23.892328767123303</v>
      </c>
    </row>
    <row r="13" spans="2:52" x14ac:dyDescent="0.4">
      <c r="B13" t="s">
        <v>74</v>
      </c>
      <c r="C13" t="s">
        <v>366</v>
      </c>
      <c r="D13" t="s">
        <v>138</v>
      </c>
      <c r="E13" t="s">
        <v>141</v>
      </c>
      <c r="F13" s="8">
        <f t="shared" ca="1" si="3"/>
        <v>695</v>
      </c>
      <c r="G13" s="8" t="str">
        <f>Дума_партии[[#This Row],[Местоположение]]</f>
        <v>Звенигород</v>
      </c>
      <c r="H13" s="2" t="str">
        <f>LEFT(Мособлдума_партии[[#This Row],[tik]],4)&amp;"."&amp;IF(ISNUMBER(VALUE(RIGHT(Мособлдума_партии[[#This Row],[tik]]))),RIGHT(Мособлдума_партии[[#This Row],[tik]]),"")</f>
        <v>Один.</v>
      </c>
      <c r="I13">
        <v>878</v>
      </c>
      <c r="J13" s="8">
        <f>Мособлдума_партии[[#This Row],[Число избирателей, внесенных в список на момент окончания голосования]]</f>
        <v>878</v>
      </c>
      <c r="K13">
        <v>700</v>
      </c>
      <c r="L13" s="1"/>
      <c r="M13">
        <v>514</v>
      </c>
      <c r="N13">
        <v>125</v>
      </c>
      <c r="O13" s="3">
        <f t="shared" si="4"/>
        <v>72.779043280182236</v>
      </c>
      <c r="P13" s="3">
        <f t="shared" si="5"/>
        <v>14.236902050113896</v>
      </c>
      <c r="Q13">
        <v>61</v>
      </c>
      <c r="R13">
        <v>125</v>
      </c>
      <c r="S13">
        <v>514</v>
      </c>
      <c r="T13" s="1">
        <f t="shared" si="6"/>
        <v>639</v>
      </c>
      <c r="U13" s="3">
        <f t="shared" si="7"/>
        <v>19.561815336463223</v>
      </c>
      <c r="V13">
        <v>10</v>
      </c>
      <c r="W13" s="3">
        <f t="shared" si="8"/>
        <v>1.5649452269170578</v>
      </c>
      <c r="X13">
        <v>629</v>
      </c>
      <c r="Y13">
        <v>0</v>
      </c>
      <c r="Z13">
        <v>0</v>
      </c>
      <c r="AA13">
        <v>2</v>
      </c>
      <c r="AB13" s="3">
        <f t="shared" si="9"/>
        <v>0.3129890453834116</v>
      </c>
      <c r="AC13">
        <v>25</v>
      </c>
      <c r="AD13" s="3">
        <f t="shared" si="10"/>
        <v>3.9123630672926448</v>
      </c>
      <c r="AE13">
        <v>16</v>
      </c>
      <c r="AF13" s="3">
        <f t="shared" si="11"/>
        <v>2.5039123630672928</v>
      </c>
      <c r="AG13">
        <v>18</v>
      </c>
      <c r="AH13" s="3">
        <f t="shared" si="12"/>
        <v>2.816901408450704</v>
      </c>
      <c r="AI13">
        <v>128</v>
      </c>
      <c r="AJ13" s="3">
        <f t="shared" si="13"/>
        <v>20.031298904538342</v>
      </c>
      <c r="AK13">
        <v>400</v>
      </c>
      <c r="AL13" s="3">
        <f t="shared" si="14"/>
        <v>62.597809076682317</v>
      </c>
      <c r="AM13">
        <v>7</v>
      </c>
      <c r="AN13" s="3">
        <f t="shared" si="15"/>
        <v>1.0954616588419406</v>
      </c>
      <c r="AO13">
        <v>8</v>
      </c>
      <c r="AP13" s="3">
        <f t="shared" si="16"/>
        <v>1.2519561815336464</v>
      </c>
      <c r="AQ13">
        <v>5</v>
      </c>
      <c r="AR13" s="3">
        <f t="shared" si="17"/>
        <v>0.78247261345852892</v>
      </c>
      <c r="AS13">
        <v>20</v>
      </c>
      <c r="AT13" s="3">
        <f t="shared" si="18"/>
        <v>3.1298904538341157</v>
      </c>
      <c r="AU13" t="s">
        <v>368</v>
      </c>
      <c r="AV13" s="72" t="str">
        <f>Дума_партии[[#This Row],[КОИБ]]</f>
        <v>N</v>
      </c>
      <c r="AW13" s="1" t="str">
        <f>IF(Дума_партии[[#This Row],[Наблюдателей]]=0,"",Дума_партии[[#This Row],[Наблюдателей]])</f>
        <v/>
      </c>
      <c r="AX13"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315.30136986301369</v>
      </c>
      <c r="AY13" s="10">
        <f>2*(Мособлдума_партии[[#This Row],[6. Всероссийская политическая партия "ЕДИНАЯ РОССИЯ"]]-(AB$203/100)*Мособлдума_партии[[#This Row],[Число действительных бюллетеней]])</f>
        <v>460.34</v>
      </c>
      <c r="AZ13" s="10">
        <f>(Мособлдума_партии[[#This Row],[Вброс]]+Мособлдума_партии[[#This Row],[Перекладывание]])/2</f>
        <v>387.82068493150683</v>
      </c>
    </row>
    <row r="14" spans="2:52" x14ac:dyDescent="0.4">
      <c r="B14" t="s">
        <v>74</v>
      </c>
      <c r="C14" t="s">
        <v>366</v>
      </c>
      <c r="D14" t="s">
        <v>138</v>
      </c>
      <c r="E14" t="s">
        <v>142</v>
      </c>
      <c r="F14" s="8">
        <f t="shared" ca="1" si="3"/>
        <v>696</v>
      </c>
      <c r="G14" s="8" t="str">
        <f>Дума_партии[[#This Row],[Местоположение]]</f>
        <v>Звенигород</v>
      </c>
      <c r="H14" s="2" t="str">
        <f>LEFT(Мособлдума_партии[[#This Row],[tik]],4)&amp;"."&amp;IF(ISNUMBER(VALUE(RIGHT(Мособлдума_партии[[#This Row],[tik]]))),RIGHT(Мособлдума_партии[[#This Row],[tik]]),"")</f>
        <v>Один.</v>
      </c>
      <c r="I14">
        <v>1109</v>
      </c>
      <c r="J14" s="8">
        <f>Мособлдума_партии[[#This Row],[Число избирателей, внесенных в список на момент окончания голосования]]</f>
        <v>1109</v>
      </c>
      <c r="K14">
        <v>1000</v>
      </c>
      <c r="L14" s="1"/>
      <c r="M14">
        <v>314</v>
      </c>
      <c r="N14">
        <v>249</v>
      </c>
      <c r="O14" s="3">
        <f t="shared" si="4"/>
        <v>50.76645626690712</v>
      </c>
      <c r="P14" s="3">
        <f t="shared" si="5"/>
        <v>22.452660054102797</v>
      </c>
      <c r="Q14">
        <v>437</v>
      </c>
      <c r="R14">
        <v>249</v>
      </c>
      <c r="S14">
        <v>314</v>
      </c>
      <c r="T14" s="1">
        <f t="shared" si="6"/>
        <v>563</v>
      </c>
      <c r="U14" s="3">
        <f t="shared" si="7"/>
        <v>44.227353463587924</v>
      </c>
      <c r="V14">
        <v>12</v>
      </c>
      <c r="W14" s="3">
        <f t="shared" si="8"/>
        <v>2.1314387211367674</v>
      </c>
      <c r="X14">
        <v>551</v>
      </c>
      <c r="Y14">
        <v>0</v>
      </c>
      <c r="Z14">
        <v>0</v>
      </c>
      <c r="AA14">
        <v>12</v>
      </c>
      <c r="AB14" s="3">
        <f t="shared" si="9"/>
        <v>2.1314387211367674</v>
      </c>
      <c r="AC14">
        <v>47</v>
      </c>
      <c r="AD14" s="3">
        <f t="shared" si="10"/>
        <v>8.3481349911190055</v>
      </c>
      <c r="AE14">
        <v>28</v>
      </c>
      <c r="AF14" s="3">
        <f t="shared" si="11"/>
        <v>4.9733570159857905</v>
      </c>
      <c r="AG14">
        <v>32</v>
      </c>
      <c r="AH14" s="3">
        <f t="shared" si="12"/>
        <v>5.6838365896980463</v>
      </c>
      <c r="AI14">
        <v>119</v>
      </c>
      <c r="AJ14" s="3">
        <f t="shared" si="13"/>
        <v>21.136767317939608</v>
      </c>
      <c r="AK14">
        <v>208</v>
      </c>
      <c r="AL14" s="3">
        <f t="shared" si="14"/>
        <v>36.944937833037301</v>
      </c>
      <c r="AM14">
        <v>18</v>
      </c>
      <c r="AN14" s="3">
        <f t="shared" si="15"/>
        <v>3.197158081705151</v>
      </c>
      <c r="AO14">
        <v>11</v>
      </c>
      <c r="AP14" s="3">
        <f t="shared" si="16"/>
        <v>1.9538188277087034</v>
      </c>
      <c r="AQ14">
        <v>37</v>
      </c>
      <c r="AR14" s="3">
        <f t="shared" si="17"/>
        <v>6.571936056838366</v>
      </c>
      <c r="AS14">
        <v>39</v>
      </c>
      <c r="AT14" s="3">
        <f t="shared" si="18"/>
        <v>6.9271758436944939</v>
      </c>
      <c r="AU14" t="s">
        <v>368</v>
      </c>
      <c r="AV14" s="72">
        <f>Дума_партии[[#This Row],[КОИБ]]</f>
        <v>2017</v>
      </c>
      <c r="AW14" s="1" t="str">
        <f>IF(Дума_партии[[#This Row],[Наблюдателей]]=0,"",Дума_партии[[#This Row],[Наблюдателей]])</f>
        <v/>
      </c>
      <c r="AX14"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81.136986301369845</v>
      </c>
      <c r="AY14" s="10">
        <f>2*(Мособлдума_партии[[#This Row],[6. Всероссийская политическая партия "ЕДИНАЯ РОССИЯ"]]-(AB$203/100)*Мособлдума_партии[[#This Row],[Число действительных бюллетеней]])</f>
        <v>118.45999999999998</v>
      </c>
      <c r="AZ14" s="10">
        <f>(Мособлдума_партии[[#This Row],[Вброс]]+Мособлдума_партии[[#This Row],[Перекладывание]])/2</f>
        <v>99.798493150684919</v>
      </c>
    </row>
    <row r="15" spans="2:52" x14ac:dyDescent="0.4">
      <c r="B15" t="s">
        <v>74</v>
      </c>
      <c r="C15" t="s">
        <v>366</v>
      </c>
      <c r="D15" t="s">
        <v>138</v>
      </c>
      <c r="E15" t="s">
        <v>143</v>
      </c>
      <c r="F15" s="8">
        <f t="shared" ca="1" si="3"/>
        <v>697</v>
      </c>
      <c r="G15" s="8" t="str">
        <f>Дума_партии[[#This Row],[Местоположение]]</f>
        <v>Звенигород</v>
      </c>
      <c r="H15" s="2" t="str">
        <f>LEFT(Мособлдума_партии[[#This Row],[tik]],4)&amp;"."&amp;IF(ISNUMBER(VALUE(RIGHT(Мособлдума_партии[[#This Row],[tik]]))),RIGHT(Мособлдума_партии[[#This Row],[tik]]),"")</f>
        <v>Один.</v>
      </c>
      <c r="I15">
        <v>2346</v>
      </c>
      <c r="J15" s="8">
        <f>Мособлдума_партии[[#This Row],[Число избирателей, внесенных в список на момент окончания голосования]]</f>
        <v>2346</v>
      </c>
      <c r="K15">
        <v>2000</v>
      </c>
      <c r="L15" s="1"/>
      <c r="M15">
        <v>713</v>
      </c>
      <c r="N15">
        <v>116</v>
      </c>
      <c r="O15" s="3">
        <f t="shared" si="4"/>
        <v>35.336743393009378</v>
      </c>
      <c r="P15" s="3">
        <f t="shared" si="5"/>
        <v>4.9445865302642797</v>
      </c>
      <c r="Q15">
        <v>1171</v>
      </c>
      <c r="R15">
        <v>116</v>
      </c>
      <c r="S15">
        <v>713</v>
      </c>
      <c r="T15" s="1">
        <f t="shared" si="6"/>
        <v>829</v>
      </c>
      <c r="U15" s="3">
        <f t="shared" si="7"/>
        <v>13.992762364294331</v>
      </c>
      <c r="V15">
        <v>22</v>
      </c>
      <c r="W15" s="3">
        <f t="shared" si="8"/>
        <v>2.6537997587454765</v>
      </c>
      <c r="X15">
        <v>807</v>
      </c>
      <c r="Y15">
        <v>0</v>
      </c>
      <c r="Z15">
        <v>0</v>
      </c>
      <c r="AA15">
        <v>10</v>
      </c>
      <c r="AB15" s="3">
        <f t="shared" si="9"/>
        <v>1.2062726176115801</v>
      </c>
      <c r="AC15">
        <v>73</v>
      </c>
      <c r="AD15" s="3">
        <f t="shared" si="10"/>
        <v>8.8057901085645351</v>
      </c>
      <c r="AE15">
        <v>67</v>
      </c>
      <c r="AF15" s="3">
        <f t="shared" si="11"/>
        <v>8.0820265379975869</v>
      </c>
      <c r="AG15">
        <v>33</v>
      </c>
      <c r="AH15" s="3">
        <f t="shared" si="12"/>
        <v>3.9806996381182147</v>
      </c>
      <c r="AI15">
        <v>162</v>
      </c>
      <c r="AJ15" s="3">
        <f t="shared" si="13"/>
        <v>19.5416164053076</v>
      </c>
      <c r="AK15">
        <v>316</v>
      </c>
      <c r="AL15" s="3">
        <f t="shared" si="14"/>
        <v>38.118214716525934</v>
      </c>
      <c r="AM15">
        <v>13</v>
      </c>
      <c r="AN15" s="3">
        <f t="shared" si="15"/>
        <v>1.5681544028950543</v>
      </c>
      <c r="AO15">
        <v>26</v>
      </c>
      <c r="AP15" s="3">
        <f t="shared" si="16"/>
        <v>3.1363088057901085</v>
      </c>
      <c r="AQ15">
        <v>43</v>
      </c>
      <c r="AR15" s="3">
        <f t="shared" si="17"/>
        <v>5.1869722557297946</v>
      </c>
      <c r="AS15">
        <v>64</v>
      </c>
      <c r="AT15" s="3">
        <f t="shared" si="18"/>
        <v>7.7201447527141136</v>
      </c>
      <c r="AU15" t="s">
        <v>368</v>
      </c>
      <c r="AV15" s="72">
        <f>Дума_партии[[#This Row],[КОИБ]]</f>
        <v>2017</v>
      </c>
      <c r="AW15" s="1" t="str">
        <f>IF(Дума_партии[[#This Row],[Наблюдателей]]=0,"",Дума_партии[[#This Row],[Наблюдателей]])</f>
        <v/>
      </c>
      <c r="AX15"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134.39726027397259</v>
      </c>
      <c r="AY15" s="10">
        <f>2*(Мособлдума_партии[[#This Row],[6. Всероссийская политическая партия "ЕДИНАЯ РОССИЯ"]]-(AB$203/100)*Мособлдума_партии[[#This Row],[Число действительных бюллетеней]])</f>
        <v>196.21999999999997</v>
      </c>
      <c r="AZ15" s="10">
        <f>(Мособлдума_партии[[#This Row],[Вброс]]+Мособлдума_партии[[#This Row],[Перекладывание]])/2</f>
        <v>165.30863013698627</v>
      </c>
    </row>
    <row r="16" spans="2:52" x14ac:dyDescent="0.4">
      <c r="B16" t="s">
        <v>74</v>
      </c>
      <c r="C16" t="s">
        <v>366</v>
      </c>
      <c r="D16" t="s">
        <v>138</v>
      </c>
      <c r="E16" t="s">
        <v>144</v>
      </c>
      <c r="F16" s="8">
        <f t="shared" ca="1" si="3"/>
        <v>698</v>
      </c>
      <c r="G16" s="8" t="str">
        <f>Дума_партии[[#This Row],[Местоположение]]</f>
        <v>Звенигород</v>
      </c>
      <c r="H16" s="2" t="str">
        <f>LEFT(Мособлдума_партии[[#This Row],[tik]],4)&amp;"."&amp;IF(ISNUMBER(VALUE(RIGHT(Мособлдума_партии[[#This Row],[tik]]))),RIGHT(Мособлдума_партии[[#This Row],[tik]]),"")</f>
        <v>Один.</v>
      </c>
      <c r="I16">
        <v>1222</v>
      </c>
      <c r="J16" s="8">
        <f>Мособлдума_партии[[#This Row],[Число избирателей, внесенных в список на момент окончания голосования]]</f>
        <v>1222</v>
      </c>
      <c r="K16">
        <v>1000</v>
      </c>
      <c r="L16" s="1"/>
      <c r="M16">
        <v>393</v>
      </c>
      <c r="N16">
        <v>173</v>
      </c>
      <c r="O16" s="3">
        <f t="shared" si="4"/>
        <v>46.317512274959086</v>
      </c>
      <c r="P16" s="3">
        <f t="shared" si="5"/>
        <v>14.157119476268413</v>
      </c>
      <c r="Q16">
        <v>434</v>
      </c>
      <c r="R16">
        <v>173</v>
      </c>
      <c r="S16">
        <v>393</v>
      </c>
      <c r="T16" s="1">
        <f t="shared" si="6"/>
        <v>566</v>
      </c>
      <c r="U16" s="3">
        <f t="shared" si="7"/>
        <v>30.565371024734983</v>
      </c>
      <c r="V16">
        <v>22</v>
      </c>
      <c r="W16" s="3">
        <f t="shared" si="8"/>
        <v>3.8869257950530036</v>
      </c>
      <c r="X16">
        <v>544</v>
      </c>
      <c r="Y16">
        <v>0</v>
      </c>
      <c r="Z16">
        <v>0</v>
      </c>
      <c r="AA16">
        <v>4</v>
      </c>
      <c r="AB16" s="3">
        <f t="shared" si="9"/>
        <v>0.70671378091872794</v>
      </c>
      <c r="AC16">
        <v>34</v>
      </c>
      <c r="AD16" s="3">
        <f t="shared" si="10"/>
        <v>6.0070671378091873</v>
      </c>
      <c r="AE16">
        <v>40</v>
      </c>
      <c r="AF16" s="3">
        <f t="shared" si="11"/>
        <v>7.0671378091872787</v>
      </c>
      <c r="AG16">
        <v>26</v>
      </c>
      <c r="AH16" s="3">
        <f t="shared" si="12"/>
        <v>4.5936395759717312</v>
      </c>
      <c r="AI16">
        <v>89</v>
      </c>
      <c r="AJ16" s="3">
        <f t="shared" si="13"/>
        <v>15.724381625441696</v>
      </c>
      <c r="AK16">
        <v>259</v>
      </c>
      <c r="AL16" s="3">
        <f t="shared" si="14"/>
        <v>45.759717314487631</v>
      </c>
      <c r="AM16">
        <v>13</v>
      </c>
      <c r="AN16" s="3">
        <f t="shared" si="15"/>
        <v>2.2968197879858656</v>
      </c>
      <c r="AO16">
        <v>16</v>
      </c>
      <c r="AP16" s="3">
        <f t="shared" si="16"/>
        <v>2.8268551236749118</v>
      </c>
      <c r="AQ16">
        <v>9</v>
      </c>
      <c r="AR16" s="3">
        <f t="shared" si="17"/>
        <v>1.5901060070671378</v>
      </c>
      <c r="AS16">
        <v>54</v>
      </c>
      <c r="AT16" s="3">
        <f t="shared" si="18"/>
        <v>9.5406360424028271</v>
      </c>
      <c r="AU16" t="s">
        <v>368</v>
      </c>
      <c r="AV16" s="72">
        <f>Дума_партии[[#This Row],[КОИБ]]</f>
        <v>2017</v>
      </c>
      <c r="AW16" s="1" t="str">
        <f>IF(Дума_партии[[#This Row],[Наблюдателей]]=0,"",Дума_партии[[#This Row],[Наблюдателей]])</f>
        <v/>
      </c>
      <c r="AX16"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153.58904109589039</v>
      </c>
      <c r="AY16" s="10">
        <f>2*(Мособлдума_партии[[#This Row],[6. Всероссийская политическая партия "ЕДИНАЯ РОССИЯ"]]-(AB$203/100)*Мособлдума_партии[[#This Row],[Число действительных бюллетеней]])</f>
        <v>224.24</v>
      </c>
      <c r="AZ16" s="10">
        <f>(Мособлдума_партии[[#This Row],[Вброс]]+Мособлдума_партии[[#This Row],[Перекладывание]])/2</f>
        <v>188.91452054794519</v>
      </c>
    </row>
    <row r="17" spans="2:52" x14ac:dyDescent="0.4">
      <c r="B17" t="s">
        <v>74</v>
      </c>
      <c r="C17" t="s">
        <v>366</v>
      </c>
      <c r="D17" t="s">
        <v>138</v>
      </c>
      <c r="E17" t="s">
        <v>145</v>
      </c>
      <c r="F17" s="8">
        <f t="shared" ca="1" si="3"/>
        <v>699</v>
      </c>
      <c r="G17" s="8" t="str">
        <f>Дума_партии[[#This Row],[Местоположение]]</f>
        <v>Звенигород</v>
      </c>
      <c r="H17" s="2" t="str">
        <f>LEFT(Мособлдума_партии[[#This Row],[tik]],4)&amp;"."&amp;IF(ISNUMBER(VALUE(RIGHT(Мособлдума_партии[[#This Row],[tik]]))),RIGHT(Мособлдума_партии[[#This Row],[tik]]),"")</f>
        <v>Один.</v>
      </c>
      <c r="I17">
        <v>1986</v>
      </c>
      <c r="J17" s="8">
        <f>Мособлдума_партии[[#This Row],[Число избирателей, внесенных в список на момент окончания голосования]]</f>
        <v>1986</v>
      </c>
      <c r="K17">
        <v>1500</v>
      </c>
      <c r="L17" s="1"/>
      <c r="M17">
        <v>557</v>
      </c>
      <c r="N17">
        <v>27</v>
      </c>
      <c r="O17" s="3">
        <f t="shared" si="4"/>
        <v>29.405840886203425</v>
      </c>
      <c r="P17" s="3">
        <f t="shared" si="5"/>
        <v>1.3595166163141994</v>
      </c>
      <c r="Q17">
        <v>916</v>
      </c>
      <c r="R17">
        <v>27</v>
      </c>
      <c r="S17">
        <v>557</v>
      </c>
      <c r="T17" s="1">
        <f t="shared" si="6"/>
        <v>584</v>
      </c>
      <c r="U17" s="3">
        <f t="shared" si="7"/>
        <v>4.6232876712328768</v>
      </c>
      <c r="V17">
        <v>31</v>
      </c>
      <c r="W17" s="3">
        <f t="shared" si="8"/>
        <v>5.3082191780821919</v>
      </c>
      <c r="X17">
        <v>553</v>
      </c>
      <c r="Y17">
        <v>0</v>
      </c>
      <c r="Z17">
        <v>0</v>
      </c>
      <c r="AA17">
        <v>12</v>
      </c>
      <c r="AB17" s="3">
        <f t="shared" si="9"/>
        <v>2.0547945205479454</v>
      </c>
      <c r="AC17">
        <v>56</v>
      </c>
      <c r="AD17" s="3">
        <f t="shared" si="10"/>
        <v>9.5890410958904102</v>
      </c>
      <c r="AE17">
        <v>42</v>
      </c>
      <c r="AF17" s="3">
        <f t="shared" si="11"/>
        <v>7.1917808219178081</v>
      </c>
      <c r="AG17">
        <v>29</v>
      </c>
      <c r="AH17" s="3">
        <f t="shared" si="12"/>
        <v>4.9657534246575343</v>
      </c>
      <c r="AI17">
        <v>135</v>
      </c>
      <c r="AJ17" s="3">
        <f t="shared" si="13"/>
        <v>23.116438356164384</v>
      </c>
      <c r="AK17">
        <v>163</v>
      </c>
      <c r="AL17" s="3">
        <f t="shared" si="14"/>
        <v>27.910958904109588</v>
      </c>
      <c r="AM17">
        <v>20</v>
      </c>
      <c r="AN17" s="3">
        <f t="shared" si="15"/>
        <v>3.4246575342465753</v>
      </c>
      <c r="AO17">
        <v>19</v>
      </c>
      <c r="AP17" s="3">
        <f t="shared" si="16"/>
        <v>3.2534246575342465</v>
      </c>
      <c r="AQ17">
        <v>23</v>
      </c>
      <c r="AR17" s="3">
        <f t="shared" si="17"/>
        <v>3.9383561643835616</v>
      </c>
      <c r="AS17">
        <v>54</v>
      </c>
      <c r="AT17" s="3">
        <f t="shared" si="18"/>
        <v>9.2465753424657535</v>
      </c>
      <c r="AU17" t="s">
        <v>368</v>
      </c>
      <c r="AV17" s="72">
        <f>Дума_партии[[#This Row],[КОИБ]]</f>
        <v>2017</v>
      </c>
      <c r="AW17" s="1">
        <f>IF(Дума_партии[[#This Row],[Наблюдателей]]=0,"",Дума_партии[[#This Row],[Наблюдателей]])</f>
        <v>1</v>
      </c>
      <c r="AX17"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18.753424657534225</v>
      </c>
      <c r="AY17" s="10">
        <f>2*(Мособлдума_партии[[#This Row],[6. Всероссийская политическая партия "ЕДИНАЯ РОССИЯ"]]-(AB$203/100)*Мособлдума_партии[[#This Row],[Число действительных бюллетеней]])</f>
        <v>27.379999999999995</v>
      </c>
      <c r="AZ17" s="10">
        <f>(Мособлдума_партии[[#This Row],[Вброс]]+Мособлдума_партии[[#This Row],[Перекладывание]])/2</f>
        <v>23.06671232876711</v>
      </c>
    </row>
    <row r="18" spans="2:52" x14ac:dyDescent="0.4">
      <c r="B18" t="s">
        <v>74</v>
      </c>
      <c r="C18" t="s">
        <v>366</v>
      </c>
      <c r="D18" t="s">
        <v>138</v>
      </c>
      <c r="E18" t="s">
        <v>146</v>
      </c>
      <c r="F18" s="8">
        <f t="shared" ca="1" si="3"/>
        <v>700</v>
      </c>
      <c r="G18" s="8" t="str">
        <f>Дума_партии[[#This Row],[Местоположение]]</f>
        <v>Звенигород</v>
      </c>
      <c r="H18" s="2" t="str">
        <f>LEFT(Мособлдума_партии[[#This Row],[tik]],4)&amp;"."&amp;IF(ISNUMBER(VALUE(RIGHT(Мособлдума_партии[[#This Row],[tik]]))),RIGHT(Мособлдума_партии[[#This Row],[tik]]),"")</f>
        <v>Один.</v>
      </c>
      <c r="I18">
        <v>391</v>
      </c>
      <c r="J18" s="8">
        <f>Мособлдума_партии[[#This Row],[Число избирателей, внесенных в список на момент окончания голосования]]</f>
        <v>391</v>
      </c>
      <c r="K18">
        <v>300</v>
      </c>
      <c r="L18" s="1"/>
      <c r="M18">
        <v>123</v>
      </c>
      <c r="N18">
        <v>48</v>
      </c>
      <c r="O18" s="3">
        <f t="shared" si="4"/>
        <v>43.734015345268546</v>
      </c>
      <c r="P18" s="3">
        <f t="shared" si="5"/>
        <v>12.276214833759591</v>
      </c>
      <c r="Q18">
        <v>129</v>
      </c>
      <c r="R18">
        <v>48</v>
      </c>
      <c r="S18">
        <v>123</v>
      </c>
      <c r="T18" s="1">
        <f t="shared" si="6"/>
        <v>171</v>
      </c>
      <c r="U18" s="3">
        <f t="shared" si="7"/>
        <v>28.07017543859649</v>
      </c>
      <c r="V18">
        <v>2</v>
      </c>
      <c r="W18" s="3">
        <f t="shared" si="8"/>
        <v>1.1695906432748537</v>
      </c>
      <c r="X18">
        <v>169</v>
      </c>
      <c r="Y18">
        <v>0</v>
      </c>
      <c r="Z18">
        <v>0</v>
      </c>
      <c r="AA18">
        <v>5</v>
      </c>
      <c r="AB18" s="3">
        <f t="shared" si="9"/>
        <v>2.9239766081871346</v>
      </c>
      <c r="AC18">
        <v>23</v>
      </c>
      <c r="AD18" s="3">
        <f t="shared" si="10"/>
        <v>13.450292397660819</v>
      </c>
      <c r="AE18">
        <v>3</v>
      </c>
      <c r="AF18" s="3">
        <f t="shared" si="11"/>
        <v>1.7543859649122806</v>
      </c>
      <c r="AG18">
        <v>10</v>
      </c>
      <c r="AH18" s="3">
        <f t="shared" si="12"/>
        <v>5.8479532163742691</v>
      </c>
      <c r="AI18">
        <v>34</v>
      </c>
      <c r="AJ18" s="3">
        <f t="shared" si="13"/>
        <v>19.883040935672515</v>
      </c>
      <c r="AK18">
        <v>66</v>
      </c>
      <c r="AL18" s="3">
        <f t="shared" si="14"/>
        <v>38.596491228070178</v>
      </c>
      <c r="AM18">
        <v>5</v>
      </c>
      <c r="AN18" s="3">
        <f t="shared" si="15"/>
        <v>2.9239766081871346</v>
      </c>
      <c r="AO18">
        <v>6</v>
      </c>
      <c r="AP18" s="3">
        <f t="shared" si="16"/>
        <v>3.5087719298245612</v>
      </c>
      <c r="AQ18">
        <v>7</v>
      </c>
      <c r="AR18" s="3">
        <f t="shared" si="17"/>
        <v>4.0935672514619883</v>
      </c>
      <c r="AS18">
        <v>10</v>
      </c>
      <c r="AT18" s="3">
        <f t="shared" si="18"/>
        <v>5.8479532163742691</v>
      </c>
      <c r="AU18" t="s">
        <v>368</v>
      </c>
      <c r="AV18" s="72">
        <f>Дума_партии[[#This Row],[КОИБ]]</f>
        <v>2017</v>
      </c>
      <c r="AW18" s="1" t="str">
        <f>IF(Дума_партии[[#This Row],[Наблюдателей]]=0,"",Дума_партии[[#This Row],[Наблюдателей]])</f>
        <v/>
      </c>
      <c r="AX18"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27.904109589041092</v>
      </c>
      <c r="AY18" s="10">
        <f>2*(Мособлдума_партии[[#This Row],[6. Всероссийская политическая партия "ЕДИНАЯ РОССИЯ"]]-(AB$203/100)*Мособлдума_партии[[#This Row],[Число действительных бюллетеней]])</f>
        <v>40.739999999999995</v>
      </c>
      <c r="AZ18" s="10">
        <f>(Мособлдума_партии[[#This Row],[Вброс]]+Мособлдума_партии[[#This Row],[Перекладывание]])/2</f>
        <v>34.32205479452054</v>
      </c>
    </row>
    <row r="19" spans="2:52" x14ac:dyDescent="0.4">
      <c r="B19" t="s">
        <v>74</v>
      </c>
      <c r="C19" t="s">
        <v>366</v>
      </c>
      <c r="D19" t="s">
        <v>138</v>
      </c>
      <c r="E19" t="s">
        <v>147</v>
      </c>
      <c r="F19" s="8">
        <f t="shared" ca="1" si="3"/>
        <v>701</v>
      </c>
      <c r="G19" s="8" t="str">
        <f>Дума_партии[[#This Row],[Местоположение]]</f>
        <v>Звенигород</v>
      </c>
      <c r="H19" s="2" t="str">
        <f>LEFT(Мособлдума_партии[[#This Row],[tik]],4)&amp;"."&amp;IF(ISNUMBER(VALUE(RIGHT(Мособлдума_партии[[#This Row],[tik]]))),RIGHT(Мособлдума_партии[[#This Row],[tik]]),"")</f>
        <v>Один.</v>
      </c>
      <c r="I19">
        <v>1248</v>
      </c>
      <c r="J19" s="8">
        <f>Мособлдума_партии[[#This Row],[Число избирателей, внесенных в список на момент окончания голосования]]</f>
        <v>1248</v>
      </c>
      <c r="K19">
        <v>1000</v>
      </c>
      <c r="L19" s="1"/>
      <c r="M19">
        <v>386</v>
      </c>
      <c r="N19">
        <v>6</v>
      </c>
      <c r="O19" s="3">
        <f t="shared" si="4"/>
        <v>31.410256410256409</v>
      </c>
      <c r="P19" s="3">
        <f t="shared" si="5"/>
        <v>0.48076923076923078</v>
      </c>
      <c r="Q19">
        <v>608</v>
      </c>
      <c r="R19">
        <v>6</v>
      </c>
      <c r="S19">
        <v>380</v>
      </c>
      <c r="T19" s="1">
        <f t="shared" si="6"/>
        <v>386</v>
      </c>
      <c r="U19" s="3">
        <f t="shared" si="7"/>
        <v>1.5544041450777202</v>
      </c>
      <c r="V19">
        <v>15</v>
      </c>
      <c r="W19" s="3">
        <f t="shared" si="8"/>
        <v>3.8860103626943006</v>
      </c>
      <c r="X19">
        <v>371</v>
      </c>
      <c r="Y19">
        <v>0</v>
      </c>
      <c r="Z19">
        <v>0</v>
      </c>
      <c r="AA19">
        <v>6</v>
      </c>
      <c r="AB19" s="3">
        <f t="shared" si="9"/>
        <v>1.5544041450777202</v>
      </c>
      <c r="AC19">
        <v>38</v>
      </c>
      <c r="AD19" s="3">
        <f t="shared" si="10"/>
        <v>9.8445595854922274</v>
      </c>
      <c r="AE19">
        <v>31</v>
      </c>
      <c r="AF19" s="3">
        <f t="shared" si="11"/>
        <v>8.0310880829015545</v>
      </c>
      <c r="AG19">
        <v>20</v>
      </c>
      <c r="AH19" s="3">
        <f t="shared" si="12"/>
        <v>5.1813471502590671</v>
      </c>
      <c r="AI19">
        <v>104</v>
      </c>
      <c r="AJ19" s="3">
        <f t="shared" si="13"/>
        <v>26.94300518134715</v>
      </c>
      <c r="AK19">
        <v>92</v>
      </c>
      <c r="AL19" s="3">
        <f t="shared" si="14"/>
        <v>23.834196891191709</v>
      </c>
      <c r="AM19">
        <v>12</v>
      </c>
      <c r="AN19" s="3">
        <f t="shared" si="15"/>
        <v>3.1088082901554404</v>
      </c>
      <c r="AO19">
        <v>16</v>
      </c>
      <c r="AP19" s="3">
        <f t="shared" si="16"/>
        <v>4.1450777202072535</v>
      </c>
      <c r="AQ19">
        <v>11</v>
      </c>
      <c r="AR19" s="3">
        <f t="shared" si="17"/>
        <v>2.849740932642487</v>
      </c>
      <c r="AS19">
        <v>41</v>
      </c>
      <c r="AT19" s="3">
        <f t="shared" si="18"/>
        <v>10.621761658031089</v>
      </c>
      <c r="AU19" t="s">
        <v>368</v>
      </c>
      <c r="AV19" s="72">
        <f>Дума_партии[[#This Row],[КОИБ]]</f>
        <v>2017</v>
      </c>
      <c r="AW19" s="1" t="str">
        <f>IF(Дума_партии[[#This Row],[Наблюдателей]]=0,"",Дума_партии[[#This Row],[Наблюдателей]])</f>
        <v/>
      </c>
      <c r="AX19"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-11.191780821917817</v>
      </c>
      <c r="AY19" s="10">
        <f>2*(Мособлдума_партии[[#This Row],[6. Всероссийская политическая партия "ЕДИНАЯ РОССИЯ"]]-(AB$203/100)*Мособлдума_партии[[#This Row],[Число действительных бюллетеней]])</f>
        <v>-16.340000000000003</v>
      </c>
      <c r="AZ19" s="10">
        <f>(Мособлдума_партии[[#This Row],[Вброс]]+Мособлдума_партии[[#This Row],[Перекладывание]])/2</f>
        <v>-13.76589041095891</v>
      </c>
    </row>
    <row r="20" spans="2:52" x14ac:dyDescent="0.4">
      <c r="B20" t="s">
        <v>74</v>
      </c>
      <c r="C20" t="s">
        <v>366</v>
      </c>
      <c r="D20" t="s">
        <v>138</v>
      </c>
      <c r="E20" t="s">
        <v>148</v>
      </c>
      <c r="F20" s="8">
        <f t="shared" ca="1" si="3"/>
        <v>702</v>
      </c>
      <c r="G20" s="8" t="str">
        <f>Дума_партии[[#This Row],[Местоположение]]</f>
        <v>Звенигород</v>
      </c>
      <c r="H20" s="2" t="str">
        <f>LEFT(Мособлдума_партии[[#This Row],[tik]],4)&amp;"."&amp;IF(ISNUMBER(VALUE(RIGHT(Мособлдума_партии[[#This Row],[tik]]))),RIGHT(Мособлдума_партии[[#This Row],[tik]]),"")</f>
        <v>Один.</v>
      </c>
      <c r="I20">
        <v>1716</v>
      </c>
      <c r="J20" s="8">
        <f>Мособлдума_партии[[#This Row],[Число избирателей, внесенных в список на момент окончания голосования]]</f>
        <v>1716</v>
      </c>
      <c r="K20">
        <v>1500</v>
      </c>
      <c r="L20" s="1"/>
      <c r="M20">
        <v>616</v>
      </c>
      <c r="N20">
        <v>216</v>
      </c>
      <c r="O20" s="3">
        <f t="shared" si="4"/>
        <v>48.484848484848484</v>
      </c>
      <c r="P20" s="3">
        <f t="shared" si="5"/>
        <v>12.587412587412587</v>
      </c>
      <c r="Q20">
        <v>668</v>
      </c>
      <c r="R20">
        <v>216</v>
      </c>
      <c r="S20">
        <v>616</v>
      </c>
      <c r="T20" s="1">
        <f t="shared" si="6"/>
        <v>832</v>
      </c>
      <c r="U20" s="3">
        <f t="shared" si="7"/>
        <v>25.96153846153846</v>
      </c>
      <c r="V20">
        <v>41</v>
      </c>
      <c r="W20" s="3">
        <f t="shared" si="8"/>
        <v>4.927884615384615</v>
      </c>
      <c r="X20">
        <v>791</v>
      </c>
      <c r="Y20">
        <v>0</v>
      </c>
      <c r="Z20">
        <v>0</v>
      </c>
      <c r="AA20">
        <v>5</v>
      </c>
      <c r="AB20" s="3">
        <f t="shared" si="9"/>
        <v>0.60096153846153844</v>
      </c>
      <c r="AC20">
        <v>68</v>
      </c>
      <c r="AD20" s="3">
        <f t="shared" si="10"/>
        <v>8.1730769230769234</v>
      </c>
      <c r="AE20">
        <v>29</v>
      </c>
      <c r="AF20" s="3">
        <f t="shared" si="11"/>
        <v>3.4855769230769229</v>
      </c>
      <c r="AG20">
        <v>28</v>
      </c>
      <c r="AH20" s="3">
        <f t="shared" si="12"/>
        <v>3.3653846153846154</v>
      </c>
      <c r="AI20">
        <v>164</v>
      </c>
      <c r="AJ20" s="3">
        <f t="shared" si="13"/>
        <v>19.71153846153846</v>
      </c>
      <c r="AK20">
        <v>376</v>
      </c>
      <c r="AL20" s="3">
        <f t="shared" si="14"/>
        <v>45.192307692307693</v>
      </c>
      <c r="AM20">
        <v>5</v>
      </c>
      <c r="AN20" s="3">
        <f t="shared" si="15"/>
        <v>0.60096153846153844</v>
      </c>
      <c r="AO20">
        <v>17</v>
      </c>
      <c r="AP20" s="3">
        <f t="shared" si="16"/>
        <v>2.0432692307692308</v>
      </c>
      <c r="AQ20">
        <v>36</v>
      </c>
      <c r="AR20" s="3">
        <f t="shared" si="17"/>
        <v>4.3269230769230766</v>
      </c>
      <c r="AS20">
        <v>63</v>
      </c>
      <c r="AT20" s="3">
        <f t="shared" si="18"/>
        <v>7.572115384615385</v>
      </c>
      <c r="AU20" t="s">
        <v>368</v>
      </c>
      <c r="AV20" s="72">
        <f>Дума_партии[[#This Row],[КОИБ]]</f>
        <v>2017</v>
      </c>
      <c r="AW20" s="1" t="str">
        <f>IF(Дума_партии[[#This Row],[Наблюдателей]]=0,"",Дума_партии[[#This Row],[Наблюдателей]])</f>
        <v/>
      </c>
      <c r="AX20"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222.50684931506848</v>
      </c>
      <c r="AY20" s="10">
        <f>2*(Мособлдума_партии[[#This Row],[6. Всероссийская политическая партия "ЕДИНАЯ РОССИЯ"]]-(AB$203/100)*Мособлдума_партии[[#This Row],[Число действительных бюллетеней]])</f>
        <v>324.85999999999996</v>
      </c>
      <c r="AZ20" s="10">
        <f>(Мособлдума_партии[[#This Row],[Вброс]]+Мособлдума_партии[[#This Row],[Перекладывание]])/2</f>
        <v>273.6834246575342</v>
      </c>
    </row>
    <row r="21" spans="2:52" x14ac:dyDescent="0.4">
      <c r="B21" t="s">
        <v>74</v>
      </c>
      <c r="C21" t="s">
        <v>366</v>
      </c>
      <c r="D21" t="s">
        <v>138</v>
      </c>
      <c r="E21" t="s">
        <v>149</v>
      </c>
      <c r="F21" s="8">
        <f t="shared" ca="1" si="3"/>
        <v>703</v>
      </c>
      <c r="G21" s="8" t="str">
        <f>Дума_партии[[#This Row],[Местоположение]]</f>
        <v>Звенигород</v>
      </c>
      <c r="H21" s="2" t="str">
        <f>LEFT(Мособлдума_партии[[#This Row],[tik]],4)&amp;"."&amp;IF(ISNUMBER(VALUE(RIGHT(Мособлдума_партии[[#This Row],[tik]]))),RIGHT(Мособлдума_партии[[#This Row],[tik]]),"")</f>
        <v>Один.</v>
      </c>
      <c r="I21">
        <v>2695</v>
      </c>
      <c r="J21" s="8">
        <f>Мособлдума_партии[[#This Row],[Число избирателей, внесенных в список на момент окончания голосования]]</f>
        <v>2695</v>
      </c>
      <c r="K21">
        <v>2000</v>
      </c>
      <c r="L21" s="1"/>
      <c r="M21">
        <v>740</v>
      </c>
      <c r="N21">
        <v>227</v>
      </c>
      <c r="O21" s="3">
        <f t="shared" si="4"/>
        <v>35.881261595547308</v>
      </c>
      <c r="P21" s="3">
        <f t="shared" si="5"/>
        <v>8.4230055658627094</v>
      </c>
      <c r="Q21">
        <v>1033</v>
      </c>
      <c r="R21">
        <v>227</v>
      </c>
      <c r="S21">
        <v>740</v>
      </c>
      <c r="T21" s="1">
        <f t="shared" si="6"/>
        <v>967</v>
      </c>
      <c r="U21" s="3">
        <f t="shared" si="7"/>
        <v>23.474663908996899</v>
      </c>
      <c r="V21">
        <v>33</v>
      </c>
      <c r="W21" s="3">
        <f t="shared" si="8"/>
        <v>3.4126163391933817</v>
      </c>
      <c r="X21">
        <v>934</v>
      </c>
      <c r="Y21">
        <v>0</v>
      </c>
      <c r="Z21">
        <v>0</v>
      </c>
      <c r="AA21">
        <v>10</v>
      </c>
      <c r="AB21" s="3">
        <f t="shared" si="9"/>
        <v>1.0341261633919339</v>
      </c>
      <c r="AC21">
        <v>87</v>
      </c>
      <c r="AD21" s="3">
        <f t="shared" si="10"/>
        <v>8.9968976215098238</v>
      </c>
      <c r="AE21">
        <v>71</v>
      </c>
      <c r="AF21" s="3">
        <f t="shared" si="11"/>
        <v>7.3422957600827301</v>
      </c>
      <c r="AG21">
        <v>31</v>
      </c>
      <c r="AH21" s="3">
        <f t="shared" si="12"/>
        <v>3.2057911065149947</v>
      </c>
      <c r="AI21">
        <v>217</v>
      </c>
      <c r="AJ21" s="3">
        <f t="shared" si="13"/>
        <v>22.440537745604964</v>
      </c>
      <c r="AK21">
        <v>378</v>
      </c>
      <c r="AL21" s="3">
        <f t="shared" si="14"/>
        <v>39.089968976215097</v>
      </c>
      <c r="AM21">
        <v>31</v>
      </c>
      <c r="AN21" s="3">
        <f t="shared" si="15"/>
        <v>3.2057911065149947</v>
      </c>
      <c r="AO21">
        <v>22</v>
      </c>
      <c r="AP21" s="3">
        <f t="shared" si="16"/>
        <v>2.2750775594622543</v>
      </c>
      <c r="AQ21">
        <v>24</v>
      </c>
      <c r="AR21" s="3">
        <f t="shared" si="17"/>
        <v>2.4819027921406414</v>
      </c>
      <c r="AS21">
        <v>63</v>
      </c>
      <c r="AT21" s="3">
        <f t="shared" si="18"/>
        <v>6.5149948293691828</v>
      </c>
      <c r="AU21" t="s">
        <v>368</v>
      </c>
      <c r="AV21" s="72">
        <f>Дума_партии[[#This Row],[КОИБ]]</f>
        <v>2017</v>
      </c>
      <c r="AW21" s="1" t="str">
        <f>IF(Дума_партии[[#This Row],[Наблюдателей]]=0,"",Дума_партии[[#This Row],[Наблюдателей]])</f>
        <v/>
      </c>
      <c r="AX21"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172.35616438356163</v>
      </c>
      <c r="AY21" s="10">
        <f>2*(Мособлдума_партии[[#This Row],[6. Всероссийская политическая партия "ЕДИНАЯ РОССИЯ"]]-(AB$203/100)*Мособлдума_партии[[#This Row],[Число действительных бюллетеней]])</f>
        <v>251.64</v>
      </c>
      <c r="AZ21" s="10">
        <f>(Мособлдума_партии[[#This Row],[Вброс]]+Мособлдума_партии[[#This Row],[Перекладывание]])/2</f>
        <v>211.99808219178081</v>
      </c>
    </row>
    <row r="22" spans="2:52" x14ac:dyDescent="0.4">
      <c r="B22" t="s">
        <v>74</v>
      </c>
      <c r="C22" t="s">
        <v>366</v>
      </c>
      <c r="D22" t="s">
        <v>138</v>
      </c>
      <c r="E22" t="s">
        <v>150</v>
      </c>
      <c r="F22" s="8">
        <f t="shared" ca="1" si="3"/>
        <v>705</v>
      </c>
      <c r="G22" s="8" t="str">
        <f>Дума_партии[[#This Row],[Местоположение]]</f>
        <v>Звенигород</v>
      </c>
      <c r="H22" s="2" t="str">
        <f>LEFT(Мособлдума_партии[[#This Row],[tik]],4)&amp;"."&amp;IF(ISNUMBER(VALUE(RIGHT(Мособлдума_партии[[#This Row],[tik]]))),RIGHT(Мособлдума_партии[[#This Row],[tik]]),"")</f>
        <v>Один.</v>
      </c>
      <c r="I22">
        <v>1800</v>
      </c>
      <c r="J22" s="8">
        <f>Мособлдума_партии[[#This Row],[Число избирателей, внесенных в список на момент окончания голосования]]</f>
        <v>1800</v>
      </c>
      <c r="K22">
        <v>1500</v>
      </c>
      <c r="L22" s="1"/>
      <c r="M22">
        <v>437</v>
      </c>
      <c r="N22">
        <v>2</v>
      </c>
      <c r="O22" s="3">
        <f t="shared" si="4"/>
        <v>24.388888888888889</v>
      </c>
      <c r="P22" s="3">
        <f t="shared" si="5"/>
        <v>0.1111111111111111</v>
      </c>
      <c r="Q22">
        <v>1061</v>
      </c>
      <c r="R22">
        <v>2</v>
      </c>
      <c r="S22">
        <v>437</v>
      </c>
      <c r="T22" s="1">
        <f t="shared" si="6"/>
        <v>439</v>
      </c>
      <c r="U22" s="3">
        <f t="shared" si="7"/>
        <v>0.45558086560364464</v>
      </c>
      <c r="V22">
        <v>13</v>
      </c>
      <c r="W22" s="3">
        <f t="shared" si="8"/>
        <v>2.9612756264236904</v>
      </c>
      <c r="X22">
        <v>426</v>
      </c>
      <c r="Y22">
        <v>0</v>
      </c>
      <c r="Z22">
        <v>0</v>
      </c>
      <c r="AA22">
        <v>8</v>
      </c>
      <c r="AB22" s="3">
        <f t="shared" si="9"/>
        <v>1.8223234624145785</v>
      </c>
      <c r="AC22">
        <v>46</v>
      </c>
      <c r="AD22" s="3">
        <f t="shared" si="10"/>
        <v>10.478359908883826</v>
      </c>
      <c r="AE22">
        <v>47</v>
      </c>
      <c r="AF22" s="3">
        <f t="shared" si="11"/>
        <v>10.70615034168565</v>
      </c>
      <c r="AG22">
        <v>20</v>
      </c>
      <c r="AH22" s="3">
        <f t="shared" si="12"/>
        <v>4.5558086560364464</v>
      </c>
      <c r="AI22">
        <v>98</v>
      </c>
      <c r="AJ22" s="3">
        <f t="shared" si="13"/>
        <v>22.323462414578589</v>
      </c>
      <c r="AK22">
        <v>133</v>
      </c>
      <c r="AL22" s="3">
        <f t="shared" si="14"/>
        <v>30.296127562642369</v>
      </c>
      <c r="AM22">
        <v>12</v>
      </c>
      <c r="AN22" s="3">
        <f t="shared" si="15"/>
        <v>2.7334851936218678</v>
      </c>
      <c r="AO22">
        <v>16</v>
      </c>
      <c r="AP22" s="3">
        <f t="shared" si="16"/>
        <v>3.6446469248291571</v>
      </c>
      <c r="AQ22">
        <v>14</v>
      </c>
      <c r="AR22" s="3">
        <f t="shared" si="17"/>
        <v>3.1890660592255125</v>
      </c>
      <c r="AS22">
        <v>32</v>
      </c>
      <c r="AT22" s="3">
        <f t="shared" si="18"/>
        <v>7.2892938496583142</v>
      </c>
      <c r="AU22" t="s">
        <v>368</v>
      </c>
      <c r="AV22" s="72">
        <f>Дума_партии[[#This Row],[КОИБ]]</f>
        <v>2017</v>
      </c>
      <c r="AW22" s="1" t="str">
        <f>IF(Дума_партии[[#This Row],[Наблюдателей]]=0,"",Дума_партии[[#This Row],[Наблюдателей]])</f>
        <v/>
      </c>
      <c r="AX22"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24.630136986301366</v>
      </c>
      <c r="AY22" s="10">
        <f>2*(Мособлдума_партии[[#This Row],[6. Всероссийская политическая партия "ЕДИНАЯ РОССИЯ"]]-(AB$203/100)*Мособлдума_партии[[#This Row],[Число действительных бюллетеней]])</f>
        <v>35.95999999999998</v>
      </c>
      <c r="AZ22" s="10">
        <f>(Мособлдума_партии[[#This Row],[Вброс]]+Мособлдума_партии[[#This Row],[Перекладывание]])/2</f>
        <v>30.295068493150673</v>
      </c>
    </row>
    <row r="23" spans="2:52" x14ac:dyDescent="0.4">
      <c r="B23" t="s">
        <v>74</v>
      </c>
      <c r="C23" t="s">
        <v>366</v>
      </c>
      <c r="D23" t="s">
        <v>138</v>
      </c>
      <c r="E23" t="s">
        <v>151</v>
      </c>
      <c r="F23" s="8">
        <f t="shared" ca="1" si="3"/>
        <v>2048</v>
      </c>
      <c r="G23" s="8" t="str">
        <f>Дума_партии[[#This Row],[Местоположение]]</f>
        <v>Большие Вяземы</v>
      </c>
      <c r="H23" s="2" t="str">
        <f>LEFT(Мособлдума_партии[[#This Row],[tik]],4)&amp;"."&amp;IF(ISNUMBER(VALUE(RIGHT(Мособлдума_партии[[#This Row],[tik]]))),RIGHT(Мособлдума_партии[[#This Row],[tik]]),"")</f>
        <v>Один.</v>
      </c>
      <c r="I23">
        <v>2108</v>
      </c>
      <c r="J23" s="8">
        <f>Мособлдума_партии[[#This Row],[Число избирателей, внесенных в список на момент окончания голосования]]</f>
        <v>2108</v>
      </c>
      <c r="K23">
        <v>1700</v>
      </c>
      <c r="L23" s="1"/>
      <c r="M23">
        <v>951</v>
      </c>
      <c r="N23">
        <v>21</v>
      </c>
      <c r="O23" s="3">
        <f t="shared" si="4"/>
        <v>46.110056925996204</v>
      </c>
      <c r="P23" s="3">
        <f t="shared" si="5"/>
        <v>0.99620493358633777</v>
      </c>
      <c r="Q23">
        <v>728</v>
      </c>
      <c r="R23">
        <v>21</v>
      </c>
      <c r="S23">
        <v>951</v>
      </c>
      <c r="T23" s="1">
        <f t="shared" si="6"/>
        <v>972</v>
      </c>
      <c r="U23" s="3">
        <f t="shared" si="7"/>
        <v>2.1604938271604937</v>
      </c>
      <c r="V23">
        <v>17</v>
      </c>
      <c r="W23" s="3">
        <f t="shared" si="8"/>
        <v>1.7489711934156378</v>
      </c>
      <c r="X23">
        <v>955</v>
      </c>
      <c r="Y23">
        <v>0</v>
      </c>
      <c r="Z23">
        <v>0</v>
      </c>
      <c r="AA23">
        <v>16</v>
      </c>
      <c r="AB23" s="3">
        <f t="shared" si="9"/>
        <v>1.6460905349794239</v>
      </c>
      <c r="AC23">
        <v>73</v>
      </c>
      <c r="AD23" s="3">
        <f t="shared" si="10"/>
        <v>7.5102880658436213</v>
      </c>
      <c r="AE23">
        <v>50</v>
      </c>
      <c r="AF23" s="3">
        <f t="shared" si="11"/>
        <v>5.1440329218106999</v>
      </c>
      <c r="AG23">
        <v>31</v>
      </c>
      <c r="AH23" s="3">
        <f t="shared" si="12"/>
        <v>3.1893004115226335</v>
      </c>
      <c r="AI23">
        <v>186</v>
      </c>
      <c r="AJ23" s="3">
        <f t="shared" si="13"/>
        <v>19.135802469135804</v>
      </c>
      <c r="AK23">
        <v>494</v>
      </c>
      <c r="AL23" s="3">
        <f t="shared" si="14"/>
        <v>50.823045267489711</v>
      </c>
      <c r="AM23">
        <v>22</v>
      </c>
      <c r="AN23" s="3">
        <f t="shared" si="15"/>
        <v>2.263374485596708</v>
      </c>
      <c r="AO23">
        <v>10</v>
      </c>
      <c r="AP23" s="3">
        <f t="shared" si="16"/>
        <v>1.0288065843621399</v>
      </c>
      <c r="AQ23">
        <v>16</v>
      </c>
      <c r="AR23" s="3">
        <f t="shared" si="17"/>
        <v>1.6460905349794239</v>
      </c>
      <c r="AS23">
        <v>57</v>
      </c>
      <c r="AT23" s="3">
        <f t="shared" si="18"/>
        <v>5.8641975308641978</v>
      </c>
      <c r="AU23" t="s">
        <v>368</v>
      </c>
      <c r="AV23" s="72" t="str">
        <f>Дума_партии[[#This Row],[КОИБ]]</f>
        <v>N</v>
      </c>
      <c r="AW23" s="1" t="str">
        <f>IF(Дума_партии[[#This Row],[Наблюдателей]]=0,"",Дума_партии[[#This Row],[Наблюдателей]])</f>
        <v/>
      </c>
      <c r="AX23"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323.49315068493149</v>
      </c>
      <c r="AY23" s="10">
        <f>2*(Мособлдума_партии[[#This Row],[6. Всероссийская политическая партия "ЕДИНАЯ РОССИЯ"]]-(AB$203/100)*Мособлдума_партии[[#This Row],[Число действительных бюллетеней]])</f>
        <v>472.29999999999995</v>
      </c>
      <c r="AZ23" s="10">
        <f>(Мособлдума_партии[[#This Row],[Вброс]]+Мособлдума_партии[[#This Row],[Перекладывание]])/2</f>
        <v>397.89657534246572</v>
      </c>
    </row>
    <row r="24" spans="2:52" x14ac:dyDescent="0.4">
      <c r="B24" t="s">
        <v>74</v>
      </c>
      <c r="C24" t="s">
        <v>366</v>
      </c>
      <c r="D24" t="s">
        <v>138</v>
      </c>
      <c r="E24" t="s">
        <v>152</v>
      </c>
      <c r="F24" s="8">
        <f t="shared" ca="1" si="3"/>
        <v>2050</v>
      </c>
      <c r="G24" s="8" t="str">
        <f>Дума_партии[[#This Row],[Местоположение]]</f>
        <v>Большие Вяземы</v>
      </c>
      <c r="H24" s="2" t="str">
        <f>LEFT(Мособлдума_партии[[#This Row],[tik]],4)&amp;"."&amp;IF(ISNUMBER(VALUE(RIGHT(Мособлдума_партии[[#This Row],[tik]]))),RIGHT(Мособлдума_партии[[#This Row],[tik]]),"")</f>
        <v>Один.</v>
      </c>
      <c r="I24">
        <v>2215</v>
      </c>
      <c r="J24" s="8">
        <f>Мособлдума_партии[[#This Row],[Число избирателей, внесенных в список на момент окончания голосования]]</f>
        <v>2215</v>
      </c>
      <c r="K24">
        <v>2000</v>
      </c>
      <c r="L24" s="1"/>
      <c r="M24">
        <v>638</v>
      </c>
      <c r="N24">
        <v>36</v>
      </c>
      <c r="O24" s="3">
        <f t="shared" si="4"/>
        <v>30.428893905191874</v>
      </c>
      <c r="P24" s="3">
        <f t="shared" si="5"/>
        <v>1.6252821670428894</v>
      </c>
      <c r="Q24">
        <v>1326</v>
      </c>
      <c r="R24">
        <v>36</v>
      </c>
      <c r="S24">
        <v>638</v>
      </c>
      <c r="T24" s="1">
        <f t="shared" si="6"/>
        <v>674</v>
      </c>
      <c r="U24" s="3">
        <f t="shared" si="7"/>
        <v>5.3412462908011866</v>
      </c>
      <c r="V24">
        <v>14</v>
      </c>
      <c r="W24" s="3">
        <f t="shared" si="8"/>
        <v>2.0771513353115729</v>
      </c>
      <c r="X24">
        <v>660</v>
      </c>
      <c r="Y24">
        <v>0</v>
      </c>
      <c r="Z24">
        <v>0</v>
      </c>
      <c r="AA24">
        <v>10</v>
      </c>
      <c r="AB24" s="3">
        <f t="shared" si="9"/>
        <v>1.4836795252225519</v>
      </c>
      <c r="AC24">
        <v>68</v>
      </c>
      <c r="AD24" s="3">
        <f t="shared" si="10"/>
        <v>10.089020771513352</v>
      </c>
      <c r="AE24">
        <v>38</v>
      </c>
      <c r="AF24" s="3">
        <f t="shared" si="11"/>
        <v>5.637982195845697</v>
      </c>
      <c r="AG24">
        <v>34</v>
      </c>
      <c r="AH24" s="3">
        <f t="shared" si="12"/>
        <v>5.0445103857566762</v>
      </c>
      <c r="AI24">
        <v>204</v>
      </c>
      <c r="AJ24" s="3">
        <f t="shared" si="13"/>
        <v>30.267062314540059</v>
      </c>
      <c r="AK24">
        <v>168</v>
      </c>
      <c r="AL24" s="3">
        <f t="shared" si="14"/>
        <v>24.925816023738872</v>
      </c>
      <c r="AM24">
        <v>21</v>
      </c>
      <c r="AN24" s="3">
        <f t="shared" si="15"/>
        <v>3.1157270029673589</v>
      </c>
      <c r="AO24">
        <v>31</v>
      </c>
      <c r="AP24" s="3">
        <f t="shared" si="16"/>
        <v>4.5994065281899106</v>
      </c>
      <c r="AQ24">
        <v>32</v>
      </c>
      <c r="AR24" s="3">
        <f t="shared" si="17"/>
        <v>4.7477744807121658</v>
      </c>
      <c r="AS24">
        <v>54</v>
      </c>
      <c r="AT24" s="3">
        <f t="shared" si="18"/>
        <v>8.0118694362017813</v>
      </c>
      <c r="AU24" t="s">
        <v>368</v>
      </c>
      <c r="AV24" s="72">
        <f>Дума_партии[[#This Row],[КОИБ]]</f>
        <v>2017</v>
      </c>
      <c r="AW24" s="1" t="str">
        <f>IF(Дума_партии[[#This Row],[Наблюдателей]]=0,"",Дума_партии[[#This Row],[Наблюдателей]])</f>
        <v/>
      </c>
      <c r="AX24"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-13.972602739726057</v>
      </c>
      <c r="AY24" s="10">
        <f>2*(Мособлдума_партии[[#This Row],[6. Всероссийская политическая партия "ЕДИНАЯ РОССИЯ"]]-(AB$203/100)*Мособлдума_партии[[#This Row],[Число действительных бюллетеней]])</f>
        <v>-20.400000000000034</v>
      </c>
      <c r="AZ24" s="10">
        <f>(Мособлдума_партии[[#This Row],[Вброс]]+Мособлдума_партии[[#This Row],[Перекладывание]])/2</f>
        <v>-17.186301369863045</v>
      </c>
    </row>
    <row r="25" spans="2:52" x14ac:dyDescent="0.4">
      <c r="B25" t="s">
        <v>74</v>
      </c>
      <c r="C25" t="s">
        <v>366</v>
      </c>
      <c r="D25" t="s">
        <v>138</v>
      </c>
      <c r="E25" t="s">
        <v>153</v>
      </c>
      <c r="F25" s="8">
        <f t="shared" ca="1" si="3"/>
        <v>2051</v>
      </c>
      <c r="G25" s="8" t="str">
        <f>Дума_партии[[#This Row],[Местоположение]]</f>
        <v>Большие Вяземы</v>
      </c>
      <c r="H25" s="2" t="str">
        <f>LEFT(Мособлдума_партии[[#This Row],[tik]],4)&amp;"."&amp;IF(ISNUMBER(VALUE(RIGHT(Мособлдума_партии[[#This Row],[tik]]))),RIGHT(Мособлдума_партии[[#This Row],[tik]]),"")</f>
        <v>Один.</v>
      </c>
      <c r="I25">
        <v>2112</v>
      </c>
      <c r="J25" s="8">
        <f>Мособлдума_партии[[#This Row],[Число избирателей, внесенных в список на момент окончания голосования]]</f>
        <v>2112</v>
      </c>
      <c r="K25">
        <v>1800</v>
      </c>
      <c r="L25" s="1"/>
      <c r="M25">
        <v>725</v>
      </c>
      <c r="N25">
        <v>32</v>
      </c>
      <c r="O25" s="3">
        <f t="shared" si="4"/>
        <v>35.842803030303031</v>
      </c>
      <c r="P25" s="3">
        <f t="shared" si="5"/>
        <v>1.5151515151515151</v>
      </c>
      <c r="Q25">
        <v>1043</v>
      </c>
      <c r="R25">
        <v>32</v>
      </c>
      <c r="S25">
        <v>725</v>
      </c>
      <c r="T25" s="1">
        <f t="shared" si="6"/>
        <v>757</v>
      </c>
      <c r="U25" s="3">
        <f t="shared" si="7"/>
        <v>4.2272126816380453</v>
      </c>
      <c r="V25">
        <v>32</v>
      </c>
      <c r="W25" s="3">
        <f t="shared" si="8"/>
        <v>4.2272126816380453</v>
      </c>
      <c r="X25">
        <v>725</v>
      </c>
      <c r="Y25">
        <v>0</v>
      </c>
      <c r="Z25">
        <v>0</v>
      </c>
      <c r="AA25">
        <v>7</v>
      </c>
      <c r="AB25" s="3">
        <f t="shared" si="9"/>
        <v>0.92470277410832236</v>
      </c>
      <c r="AC25">
        <v>94</v>
      </c>
      <c r="AD25" s="3">
        <f t="shared" si="10"/>
        <v>12.417437252311757</v>
      </c>
      <c r="AE25">
        <v>58</v>
      </c>
      <c r="AF25" s="3">
        <f t="shared" si="11"/>
        <v>7.6618229854689561</v>
      </c>
      <c r="AG25">
        <v>50</v>
      </c>
      <c r="AH25" s="3">
        <f t="shared" si="12"/>
        <v>6.6050198150594452</v>
      </c>
      <c r="AI25">
        <v>190</v>
      </c>
      <c r="AJ25" s="3">
        <f t="shared" si="13"/>
        <v>25.099075297225891</v>
      </c>
      <c r="AK25">
        <v>180</v>
      </c>
      <c r="AL25" s="3">
        <f t="shared" si="14"/>
        <v>23.778071334214001</v>
      </c>
      <c r="AM25">
        <v>24</v>
      </c>
      <c r="AN25" s="3">
        <f t="shared" si="15"/>
        <v>3.1704095112285335</v>
      </c>
      <c r="AO25">
        <v>6</v>
      </c>
      <c r="AP25" s="3">
        <f t="shared" si="16"/>
        <v>0.79260237780713338</v>
      </c>
      <c r="AQ25">
        <v>37</v>
      </c>
      <c r="AR25" s="3">
        <f t="shared" si="17"/>
        <v>4.8877146631439894</v>
      </c>
      <c r="AS25">
        <v>79</v>
      </c>
      <c r="AT25" s="3">
        <f t="shared" si="18"/>
        <v>10.435931307793924</v>
      </c>
      <c r="AU25" t="s">
        <v>368</v>
      </c>
      <c r="AV25" s="72">
        <f>Дума_партии[[#This Row],[КОИБ]]</f>
        <v>2017</v>
      </c>
      <c r="AW25" s="1" t="str">
        <f>IF(Дума_партии[[#This Row],[Наблюдателей]]=0,"",Дума_партии[[#This Row],[Наблюдателей]])</f>
        <v/>
      </c>
      <c r="AX25"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-21.575342465753437</v>
      </c>
      <c r="AY25" s="10">
        <f>2*(Мособлдума_партии[[#This Row],[6. Всероссийская политическая партия "ЕДИНАЯ РОССИЯ"]]-(AB$203/100)*Мособлдума_партии[[#This Row],[Число действительных бюллетеней]])</f>
        <v>-31.5</v>
      </c>
      <c r="AZ25" s="10">
        <f>(Мособлдума_партии[[#This Row],[Вброс]]+Мособлдума_партии[[#This Row],[Перекладывание]])/2</f>
        <v>-26.537671232876718</v>
      </c>
    </row>
    <row r="26" spans="2:52" x14ac:dyDescent="0.4">
      <c r="B26" t="s">
        <v>74</v>
      </c>
      <c r="C26" t="s">
        <v>366</v>
      </c>
      <c r="D26" t="s">
        <v>138</v>
      </c>
      <c r="E26" t="s">
        <v>154</v>
      </c>
      <c r="F26" s="8">
        <f t="shared" ca="1" si="3"/>
        <v>2054</v>
      </c>
      <c r="G26" s="8" t="str">
        <f>Дума_партии[[#This Row],[Местоположение]]</f>
        <v>Большие Вяземы</v>
      </c>
      <c r="H26" s="2" t="str">
        <f>LEFT(Мособлдума_партии[[#This Row],[tik]],4)&amp;"."&amp;IF(ISNUMBER(VALUE(RIGHT(Мособлдума_партии[[#This Row],[tik]]))),RIGHT(Мособлдума_партии[[#This Row],[tik]]),"")</f>
        <v>Один.</v>
      </c>
      <c r="I26">
        <v>2268</v>
      </c>
      <c r="J26" s="8">
        <f>Мособлдума_партии[[#This Row],[Число избирателей, внесенных в список на момент окончания голосования]]</f>
        <v>2268</v>
      </c>
      <c r="K26">
        <v>2000</v>
      </c>
      <c r="L26" s="1"/>
      <c r="M26">
        <v>660</v>
      </c>
      <c r="N26">
        <v>43</v>
      </c>
      <c r="O26" s="3">
        <f t="shared" si="4"/>
        <v>30.996472663139329</v>
      </c>
      <c r="P26" s="3">
        <f t="shared" si="5"/>
        <v>1.8959435626102292</v>
      </c>
      <c r="Q26">
        <v>1296</v>
      </c>
      <c r="R26">
        <v>42</v>
      </c>
      <c r="S26">
        <v>660</v>
      </c>
      <c r="T26" s="1">
        <f t="shared" si="6"/>
        <v>702</v>
      </c>
      <c r="U26" s="3">
        <f t="shared" si="7"/>
        <v>5.982905982905983</v>
      </c>
      <c r="V26">
        <v>30</v>
      </c>
      <c r="W26" s="3">
        <f t="shared" si="8"/>
        <v>4.2735042735042734</v>
      </c>
      <c r="X26">
        <v>672</v>
      </c>
      <c r="Y26">
        <v>1</v>
      </c>
      <c r="Z26">
        <v>0</v>
      </c>
      <c r="AA26">
        <v>9</v>
      </c>
      <c r="AB26" s="3">
        <f t="shared" si="9"/>
        <v>1.2820512820512822</v>
      </c>
      <c r="AC26">
        <v>78</v>
      </c>
      <c r="AD26" s="3">
        <f t="shared" si="10"/>
        <v>11.111111111111111</v>
      </c>
      <c r="AE26">
        <v>46</v>
      </c>
      <c r="AF26" s="3">
        <f t="shared" si="11"/>
        <v>6.5527065527065531</v>
      </c>
      <c r="AG26">
        <v>42</v>
      </c>
      <c r="AH26" s="3">
        <f t="shared" si="12"/>
        <v>5.982905982905983</v>
      </c>
      <c r="AI26">
        <v>163</v>
      </c>
      <c r="AJ26" s="3">
        <f t="shared" si="13"/>
        <v>23.219373219373221</v>
      </c>
      <c r="AK26">
        <v>212</v>
      </c>
      <c r="AL26" s="3">
        <f t="shared" si="14"/>
        <v>30.1994301994302</v>
      </c>
      <c r="AM26">
        <v>22</v>
      </c>
      <c r="AN26" s="3">
        <f t="shared" si="15"/>
        <v>3.133903133903134</v>
      </c>
      <c r="AO26">
        <v>11</v>
      </c>
      <c r="AP26" s="3">
        <f t="shared" si="16"/>
        <v>1.566951566951567</v>
      </c>
      <c r="AQ26">
        <v>20</v>
      </c>
      <c r="AR26" s="3">
        <f t="shared" si="17"/>
        <v>2.8490028490028489</v>
      </c>
      <c r="AS26">
        <v>69</v>
      </c>
      <c r="AT26" s="3">
        <f t="shared" si="18"/>
        <v>9.8290598290598297</v>
      </c>
      <c r="AU26" t="s">
        <v>368</v>
      </c>
      <c r="AV26" s="72">
        <f>Дума_партии[[#This Row],[КОИБ]]</f>
        <v>2017</v>
      </c>
      <c r="AW26" s="1" t="str">
        <f>IF(Дума_партии[[#This Row],[Наблюдателей]]=0,"",Дума_партии[[#This Row],[Наблюдателей]])</f>
        <v/>
      </c>
      <c r="AX26"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41.863013698630112</v>
      </c>
      <c r="AY26" s="10">
        <f>2*(Мособлдума_партии[[#This Row],[6. Всероссийская политическая партия "ЕДИНАЯ РОССИЯ"]]-(AB$203/100)*Мособлдума_партии[[#This Row],[Число действительных бюллетеней]])</f>
        <v>61.120000000000005</v>
      </c>
      <c r="AZ26" s="10">
        <f>(Мособлдума_партии[[#This Row],[Вброс]]+Мособлдума_партии[[#This Row],[Перекладывание]])/2</f>
        <v>51.491506849315059</v>
      </c>
    </row>
    <row r="27" spans="2:52" x14ac:dyDescent="0.4">
      <c r="B27" t="s">
        <v>74</v>
      </c>
      <c r="C27" t="s">
        <v>366</v>
      </c>
      <c r="D27" t="s">
        <v>138</v>
      </c>
      <c r="E27" t="s">
        <v>155</v>
      </c>
      <c r="F27" s="8">
        <f t="shared" ref="F27:F58" ca="1" si="19">SUMPRODUCT(MID(0&amp;E27, LARGE(INDEX(ISNUMBER(--MID(E27, ROW(INDIRECT("1:"&amp;LEN(E27))), 1)) * ROW(INDIRECT("1:"&amp;LEN(E27))), 0), ROW(INDIRECT("1:"&amp;LEN(E27))))+1, 1) * 10^ROW(INDIRECT("1:"&amp;LEN(E27)))/10)</f>
        <v>2056</v>
      </c>
      <c r="G27" s="8" t="str">
        <f>Дума_партии[[#This Row],[Местоположение]]</f>
        <v>Большие Вяземы</v>
      </c>
      <c r="H27" s="2" t="str">
        <f>LEFT(Мособлдума_партии[[#This Row],[tik]],4)&amp;"."&amp;IF(ISNUMBER(VALUE(RIGHT(Мособлдума_партии[[#This Row],[tik]]))),RIGHT(Мособлдума_партии[[#This Row],[tik]]),"")</f>
        <v>Один.</v>
      </c>
      <c r="I27">
        <v>2112</v>
      </c>
      <c r="J27" s="8">
        <f>Мособлдума_партии[[#This Row],[Число избирателей, внесенных в список на момент окончания голосования]]</f>
        <v>2112</v>
      </c>
      <c r="K27">
        <v>1800</v>
      </c>
      <c r="M27">
        <v>713</v>
      </c>
      <c r="N27">
        <v>79</v>
      </c>
      <c r="O27" s="3">
        <f t="shared" ref="O27:O58" si="20">100*(M27+N27)/I27</f>
        <v>37.5</v>
      </c>
      <c r="P27" s="3">
        <f t="shared" ref="P27:P58" si="21">100*N27/I27</f>
        <v>3.7405303030303032</v>
      </c>
      <c r="Q27">
        <v>1008</v>
      </c>
      <c r="R27">
        <v>79</v>
      </c>
      <c r="S27">
        <v>713</v>
      </c>
      <c r="T27" s="3">
        <f t="shared" ref="T27:T58" si="22">R27+S27</f>
        <v>792</v>
      </c>
      <c r="U27" s="3">
        <f t="shared" ref="U27:U58" si="23">100*R27/T27</f>
        <v>9.974747474747474</v>
      </c>
      <c r="V27">
        <v>38</v>
      </c>
      <c r="W27" s="3">
        <f t="shared" ref="W27:W58" si="24">100*V27/T27</f>
        <v>4.7979797979797976</v>
      </c>
      <c r="X27">
        <v>754</v>
      </c>
      <c r="Y27">
        <v>0</v>
      </c>
      <c r="Z27">
        <v>0</v>
      </c>
      <c r="AA27">
        <v>20</v>
      </c>
      <c r="AB27" s="3">
        <f t="shared" ref="AB27:AB58" si="25">100*AA27/$T27</f>
        <v>2.5252525252525251</v>
      </c>
      <c r="AC27">
        <v>56</v>
      </c>
      <c r="AD27" s="3">
        <f t="shared" ref="AD27:AD58" si="26">100*AC27/$T27</f>
        <v>7.0707070707070709</v>
      </c>
      <c r="AE27">
        <v>56</v>
      </c>
      <c r="AF27" s="3">
        <f t="shared" ref="AF27:AF58" si="27">100*AE27/$T27</f>
        <v>7.0707070707070709</v>
      </c>
      <c r="AG27">
        <v>58</v>
      </c>
      <c r="AH27" s="3">
        <f t="shared" ref="AH27:AH58" si="28">100*AG27/$T27</f>
        <v>7.3232323232323235</v>
      </c>
      <c r="AI27">
        <v>187</v>
      </c>
      <c r="AJ27" s="3">
        <f t="shared" ref="AJ27:AJ58" si="29">100*AI27/$T27</f>
        <v>23.611111111111111</v>
      </c>
      <c r="AK27">
        <v>250</v>
      </c>
      <c r="AL27" s="3">
        <f t="shared" ref="AL27:AL58" si="30">100*AK27/$T27</f>
        <v>31.565656565656564</v>
      </c>
      <c r="AM27">
        <v>19</v>
      </c>
      <c r="AN27" s="3">
        <f t="shared" ref="AN27:AN58" si="31">100*AM27/$T27</f>
        <v>2.3989898989898988</v>
      </c>
      <c r="AO27">
        <v>12</v>
      </c>
      <c r="AP27" s="3">
        <f t="shared" ref="AP27:AP58" si="32">100*AO27/$T27</f>
        <v>1.5151515151515151</v>
      </c>
      <c r="AQ27">
        <v>31</v>
      </c>
      <c r="AR27" s="3">
        <f t="shared" ref="AR27:AR58" si="33">100*AQ27/$T27</f>
        <v>3.9141414141414139</v>
      </c>
      <c r="AS27">
        <v>65</v>
      </c>
      <c r="AT27" s="3">
        <f t="shared" ref="AT27:AT58" si="34">100*AS27/$T27</f>
        <v>8.2070707070707076</v>
      </c>
      <c r="AU27" t="s">
        <v>368</v>
      </c>
      <c r="AV27" s="72">
        <f>Дума_партии[[#This Row],[КОИБ]]</f>
        <v>2017</v>
      </c>
      <c r="AW27" s="1" t="str">
        <f>IF(Дума_партии[[#This Row],[Наблюдателей]]=0,"",Дума_партии[[#This Row],[Наблюдателей]])</f>
        <v/>
      </c>
      <c r="AX27"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63.589041095890394</v>
      </c>
      <c r="AY27" s="10">
        <f>2*(Мособлдума_партии[[#This Row],[6. Всероссийская политическая партия "ЕДИНАЯ РОССИЯ"]]-(AB$203/100)*Мособлдума_партии[[#This Row],[Число действительных бюллетеней]])</f>
        <v>92.839999999999975</v>
      </c>
      <c r="AZ27" s="10">
        <f>(Мособлдума_партии[[#This Row],[Вброс]]+Мособлдума_партии[[#This Row],[Перекладывание]])/2</f>
        <v>78.214520547945185</v>
      </c>
    </row>
    <row r="28" spans="2:52" x14ac:dyDescent="0.4">
      <c r="B28" t="s">
        <v>74</v>
      </c>
      <c r="C28" t="s">
        <v>102</v>
      </c>
      <c r="D28" t="s">
        <v>138</v>
      </c>
      <c r="E28" t="s">
        <v>156</v>
      </c>
      <c r="F28" s="8">
        <f t="shared" ca="1" si="19"/>
        <v>2058</v>
      </c>
      <c r="G28" s="8" t="str">
        <f>Дума_партии[[#This Row],[Местоположение]]</f>
        <v>Голицыно</v>
      </c>
      <c r="H28" s="2" t="str">
        <f>LEFT(Мособлдума_партии[[#This Row],[tik]],4)&amp;"."&amp;IF(ISNUMBER(VALUE(RIGHT(Мособлдума_партии[[#This Row],[tik]]))),RIGHT(Мособлдума_партии[[#This Row],[tik]]),"")</f>
        <v>Один.</v>
      </c>
      <c r="I28">
        <v>2016</v>
      </c>
      <c r="J28" s="8">
        <f>Мособлдума_партии[[#This Row],[Число избирателей, внесенных в список на момент окончания голосования]]</f>
        <v>2016</v>
      </c>
      <c r="K28">
        <v>1500</v>
      </c>
      <c r="L28" s="1"/>
      <c r="M28">
        <v>894</v>
      </c>
      <c r="N28">
        <v>23</v>
      </c>
      <c r="O28" s="3">
        <f t="shared" si="20"/>
        <v>45.486111111111114</v>
      </c>
      <c r="P28" s="3">
        <f t="shared" si="21"/>
        <v>1.1408730158730158</v>
      </c>
      <c r="Q28">
        <v>583</v>
      </c>
      <c r="R28">
        <v>23</v>
      </c>
      <c r="S28">
        <v>894</v>
      </c>
      <c r="T28" s="1">
        <f t="shared" si="22"/>
        <v>917</v>
      </c>
      <c r="U28" s="3">
        <f t="shared" si="23"/>
        <v>2.5081788440567068</v>
      </c>
      <c r="V28">
        <v>28</v>
      </c>
      <c r="W28" s="3">
        <f t="shared" si="24"/>
        <v>3.053435114503817</v>
      </c>
      <c r="X28">
        <v>889</v>
      </c>
      <c r="Y28">
        <v>0</v>
      </c>
      <c r="Z28">
        <v>0</v>
      </c>
      <c r="AA28">
        <v>14</v>
      </c>
      <c r="AB28" s="3">
        <f t="shared" si="25"/>
        <v>1.5267175572519085</v>
      </c>
      <c r="AC28">
        <v>72</v>
      </c>
      <c r="AD28" s="3">
        <f t="shared" si="26"/>
        <v>7.8516902944383862</v>
      </c>
      <c r="AE28">
        <v>68</v>
      </c>
      <c r="AF28" s="3">
        <f t="shared" si="27"/>
        <v>7.4154852780806984</v>
      </c>
      <c r="AG28">
        <v>34</v>
      </c>
      <c r="AH28" s="3">
        <f t="shared" si="28"/>
        <v>3.7077426390403492</v>
      </c>
      <c r="AI28">
        <v>204</v>
      </c>
      <c r="AJ28" s="3">
        <f t="shared" si="29"/>
        <v>22.246455834242095</v>
      </c>
      <c r="AK28">
        <v>360</v>
      </c>
      <c r="AL28" s="3">
        <f t="shared" si="30"/>
        <v>39.258451472191929</v>
      </c>
      <c r="AM28">
        <v>14</v>
      </c>
      <c r="AN28" s="3">
        <f t="shared" si="31"/>
        <v>1.5267175572519085</v>
      </c>
      <c r="AO28">
        <v>17</v>
      </c>
      <c r="AP28" s="3">
        <f t="shared" si="32"/>
        <v>1.8538713195201746</v>
      </c>
      <c r="AQ28">
        <v>27</v>
      </c>
      <c r="AR28" s="3">
        <f t="shared" si="33"/>
        <v>2.9443838604143946</v>
      </c>
      <c r="AS28">
        <v>79</v>
      </c>
      <c r="AT28" s="3">
        <f t="shared" si="34"/>
        <v>8.6150490730643394</v>
      </c>
      <c r="AU28" t="s">
        <v>369</v>
      </c>
      <c r="AV28" s="72">
        <f>Дума_партии[[#This Row],[КОИБ]]</f>
        <v>2017</v>
      </c>
      <c r="AW28" s="1" t="str">
        <f>IF(Дума_партии[[#This Row],[Наблюдателей]]=0,"",Дума_партии[[#This Row],[Наблюдателей]])</f>
        <v/>
      </c>
      <c r="AX28"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164.34246575342465</v>
      </c>
      <c r="AY28" s="10">
        <f>2*(Мособлдума_партии[[#This Row],[6. Всероссийская политическая партия "ЕДИНАЯ РОССИЯ"]]-(AB$203/100)*Мособлдума_партии[[#This Row],[Число действительных бюллетеней]])</f>
        <v>239.93999999999994</v>
      </c>
      <c r="AZ28" s="10">
        <f>(Мособлдума_партии[[#This Row],[Вброс]]+Мособлдума_партии[[#This Row],[Перекладывание]])/2</f>
        <v>202.14123287671231</v>
      </c>
    </row>
    <row r="29" spans="2:52" x14ac:dyDescent="0.4">
      <c r="B29" t="s">
        <v>74</v>
      </c>
      <c r="C29" t="s">
        <v>102</v>
      </c>
      <c r="D29" t="s">
        <v>138</v>
      </c>
      <c r="E29" t="s">
        <v>157</v>
      </c>
      <c r="F29" s="8">
        <f t="shared" ca="1" si="19"/>
        <v>2059</v>
      </c>
      <c r="G29" s="8" t="str">
        <f>Дума_партии[[#This Row],[Местоположение]]</f>
        <v>Голицыно</v>
      </c>
      <c r="H29" s="2" t="str">
        <f>LEFT(Мособлдума_партии[[#This Row],[tik]],4)&amp;"."&amp;IF(ISNUMBER(VALUE(RIGHT(Мособлдума_партии[[#This Row],[tik]]))),RIGHT(Мособлдума_партии[[#This Row],[tik]]),"")</f>
        <v>Один.</v>
      </c>
      <c r="I29">
        <v>2330</v>
      </c>
      <c r="J29" s="8">
        <f>Мособлдума_партии[[#This Row],[Число избирателей, внесенных в список на момент окончания голосования]]</f>
        <v>2330</v>
      </c>
      <c r="K29">
        <v>1800</v>
      </c>
      <c r="L29" s="1"/>
      <c r="M29">
        <v>701</v>
      </c>
      <c r="N29">
        <v>9</v>
      </c>
      <c r="O29" s="3">
        <f t="shared" si="20"/>
        <v>30.472103004291846</v>
      </c>
      <c r="P29" s="3">
        <f t="shared" si="21"/>
        <v>0.38626609442060084</v>
      </c>
      <c r="Q29">
        <v>1090</v>
      </c>
      <c r="R29">
        <v>9</v>
      </c>
      <c r="S29">
        <v>696</v>
      </c>
      <c r="T29" s="1">
        <f t="shared" si="22"/>
        <v>705</v>
      </c>
      <c r="U29" s="3">
        <f t="shared" si="23"/>
        <v>1.2765957446808511</v>
      </c>
      <c r="V29">
        <v>38</v>
      </c>
      <c r="W29" s="3">
        <f t="shared" si="24"/>
        <v>5.3900709219858154</v>
      </c>
      <c r="X29">
        <v>667</v>
      </c>
      <c r="Y29">
        <v>0</v>
      </c>
      <c r="Z29">
        <v>0</v>
      </c>
      <c r="AA29">
        <v>5</v>
      </c>
      <c r="AB29" s="3">
        <f t="shared" si="25"/>
        <v>0.70921985815602839</v>
      </c>
      <c r="AC29">
        <v>60</v>
      </c>
      <c r="AD29" s="3">
        <f t="shared" si="26"/>
        <v>8.5106382978723403</v>
      </c>
      <c r="AE29">
        <v>53</v>
      </c>
      <c r="AF29" s="3">
        <f t="shared" si="27"/>
        <v>7.5177304964539005</v>
      </c>
      <c r="AG29">
        <v>51</v>
      </c>
      <c r="AH29" s="3">
        <f t="shared" si="28"/>
        <v>7.2340425531914896</v>
      </c>
      <c r="AI29">
        <v>158</v>
      </c>
      <c r="AJ29" s="3">
        <f t="shared" si="29"/>
        <v>22.411347517730498</v>
      </c>
      <c r="AK29">
        <v>239</v>
      </c>
      <c r="AL29" s="3">
        <f t="shared" si="30"/>
        <v>33.900709219858157</v>
      </c>
      <c r="AM29">
        <v>15</v>
      </c>
      <c r="AN29" s="3">
        <f t="shared" si="31"/>
        <v>2.1276595744680851</v>
      </c>
      <c r="AO29">
        <v>22</v>
      </c>
      <c r="AP29" s="3">
        <f t="shared" si="32"/>
        <v>3.1205673758865249</v>
      </c>
      <c r="AQ29">
        <v>17</v>
      </c>
      <c r="AR29" s="3">
        <f t="shared" si="33"/>
        <v>2.4113475177304964</v>
      </c>
      <c r="AS29">
        <v>47</v>
      </c>
      <c r="AT29" s="3">
        <f t="shared" si="34"/>
        <v>6.666666666666667</v>
      </c>
      <c r="AU29" t="s">
        <v>369</v>
      </c>
      <c r="AV29" s="72">
        <f>Дума_партии[[#This Row],[КОИБ]]</f>
        <v>2017</v>
      </c>
      <c r="AW29" s="1" t="str">
        <f>IF(Дума_партии[[#This Row],[Наблюдателей]]=0,"",Дума_партии[[#This Row],[Наблюдателей]])</f>
        <v/>
      </c>
      <c r="AX29"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80.698630136986282</v>
      </c>
      <c r="AY29" s="10">
        <f>2*(Мособлдума_партии[[#This Row],[6. Всероссийская политическая партия "ЕДИНАЯ РОССИЯ"]]-(AB$203/100)*Мособлдума_партии[[#This Row],[Число действительных бюллетеней]])</f>
        <v>117.82</v>
      </c>
      <c r="AZ29" s="10">
        <f>(Мособлдума_партии[[#This Row],[Вброс]]+Мособлдума_партии[[#This Row],[Перекладывание]])/2</f>
        <v>99.259315068493137</v>
      </c>
    </row>
    <row r="30" spans="2:52" x14ac:dyDescent="0.4">
      <c r="B30" t="s">
        <v>74</v>
      </c>
      <c r="C30" t="s">
        <v>102</v>
      </c>
      <c r="D30" t="s">
        <v>138</v>
      </c>
      <c r="E30" t="s">
        <v>158</v>
      </c>
      <c r="F30" s="8">
        <f t="shared" ca="1" si="19"/>
        <v>2061</v>
      </c>
      <c r="G30" s="8" t="str">
        <f>Дума_партии[[#This Row],[Местоположение]]</f>
        <v>Голицыно</v>
      </c>
      <c r="H30" s="2" t="str">
        <f>LEFT(Мособлдума_партии[[#This Row],[tik]],4)&amp;"."&amp;IF(ISNUMBER(VALUE(RIGHT(Мособлдума_партии[[#This Row],[tik]]))),RIGHT(Мособлдума_партии[[#This Row],[tik]]),"")</f>
        <v>Один.</v>
      </c>
      <c r="I30">
        <v>1867</v>
      </c>
      <c r="J30" s="8">
        <f>Мособлдума_партии[[#This Row],[Число избирателей, внесенных в список на момент окончания голосования]]</f>
        <v>1867</v>
      </c>
      <c r="K30">
        <v>1800</v>
      </c>
      <c r="L30" s="1"/>
      <c r="M30">
        <v>699</v>
      </c>
      <c r="N30">
        <v>21</v>
      </c>
      <c r="O30" s="3">
        <f t="shared" si="20"/>
        <v>38.564542046063202</v>
      </c>
      <c r="P30" s="3">
        <f t="shared" si="21"/>
        <v>1.1247991430101767</v>
      </c>
      <c r="Q30">
        <v>1080</v>
      </c>
      <c r="R30">
        <v>20</v>
      </c>
      <c r="S30">
        <v>696</v>
      </c>
      <c r="T30" s="1">
        <f t="shared" si="22"/>
        <v>716</v>
      </c>
      <c r="U30" s="3">
        <f t="shared" si="23"/>
        <v>2.7932960893854748</v>
      </c>
      <c r="V30">
        <v>37</v>
      </c>
      <c r="W30" s="3">
        <f t="shared" si="24"/>
        <v>5.1675977653631282</v>
      </c>
      <c r="X30">
        <v>679</v>
      </c>
      <c r="Y30">
        <v>0</v>
      </c>
      <c r="Z30">
        <v>0</v>
      </c>
      <c r="AA30">
        <v>14</v>
      </c>
      <c r="AB30" s="3">
        <f t="shared" si="25"/>
        <v>1.9553072625698324</v>
      </c>
      <c r="AC30">
        <v>53</v>
      </c>
      <c r="AD30" s="3">
        <f t="shared" si="26"/>
        <v>7.4022346368715084</v>
      </c>
      <c r="AE30">
        <v>51</v>
      </c>
      <c r="AF30" s="3">
        <f t="shared" si="27"/>
        <v>7.1229050279329611</v>
      </c>
      <c r="AG30">
        <v>61</v>
      </c>
      <c r="AH30" s="3">
        <f t="shared" si="28"/>
        <v>8.5195530726256976</v>
      </c>
      <c r="AI30">
        <v>168</v>
      </c>
      <c r="AJ30" s="3">
        <f t="shared" si="29"/>
        <v>23.463687150837988</v>
      </c>
      <c r="AK30">
        <v>221</v>
      </c>
      <c r="AL30" s="3">
        <f t="shared" si="30"/>
        <v>30.865921787709496</v>
      </c>
      <c r="AM30">
        <v>16</v>
      </c>
      <c r="AN30" s="3">
        <f t="shared" si="31"/>
        <v>2.2346368715083798</v>
      </c>
      <c r="AO30">
        <v>24</v>
      </c>
      <c r="AP30" s="3">
        <f t="shared" si="32"/>
        <v>3.3519553072625698</v>
      </c>
      <c r="AQ30">
        <v>21</v>
      </c>
      <c r="AR30" s="3">
        <f t="shared" si="33"/>
        <v>2.9329608938547485</v>
      </c>
      <c r="AS30">
        <v>50</v>
      </c>
      <c r="AT30" s="3">
        <f t="shared" si="34"/>
        <v>6.983240223463687</v>
      </c>
      <c r="AU30" t="s">
        <v>369</v>
      </c>
      <c r="AV30" s="72">
        <f>Дума_партии[[#This Row],[КОИБ]]</f>
        <v>2017</v>
      </c>
      <c r="AW30" s="1" t="str">
        <f>IF(Дума_партии[[#This Row],[Наблюдателей]]=0,"",Дума_партии[[#This Row],[Наблюдателей]])</f>
        <v/>
      </c>
      <c r="AX30"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51.60273972602738</v>
      </c>
      <c r="AY30" s="10">
        <f>2*(Мособлдума_партии[[#This Row],[6. Всероссийская политическая партия "ЕДИНАЯ РОССИЯ"]]-(AB$203/100)*Мособлдума_партии[[#This Row],[Число действительных бюллетеней]])</f>
        <v>75.339999999999975</v>
      </c>
      <c r="AZ30" s="10">
        <f>(Мособлдума_партии[[#This Row],[Вброс]]+Мособлдума_партии[[#This Row],[Перекладывание]])/2</f>
        <v>63.471369863013678</v>
      </c>
    </row>
    <row r="31" spans="2:52" x14ac:dyDescent="0.4">
      <c r="B31" t="s">
        <v>74</v>
      </c>
      <c r="C31" t="s">
        <v>102</v>
      </c>
      <c r="D31" t="s">
        <v>138</v>
      </c>
      <c r="E31" t="s">
        <v>159</v>
      </c>
      <c r="F31" s="8">
        <f t="shared" ca="1" si="19"/>
        <v>2063</v>
      </c>
      <c r="G31" s="8" t="str">
        <f>Дума_партии[[#This Row],[Местоположение]]</f>
        <v>Голицыно</v>
      </c>
      <c r="H31" s="2" t="str">
        <f>LEFT(Мособлдума_партии[[#This Row],[tik]],4)&amp;"."&amp;IF(ISNUMBER(VALUE(RIGHT(Мособлдума_партии[[#This Row],[tik]]))),RIGHT(Мособлдума_партии[[#This Row],[tik]]),"")</f>
        <v>Один.</v>
      </c>
      <c r="I31">
        <v>1777</v>
      </c>
      <c r="J31" s="8">
        <f>Мособлдума_партии[[#This Row],[Число избирателей, внесенных в список на момент окончания голосования]]</f>
        <v>1777</v>
      </c>
      <c r="K31">
        <v>1500</v>
      </c>
      <c r="L31" s="1"/>
      <c r="M31">
        <v>595</v>
      </c>
      <c r="N31">
        <v>13</v>
      </c>
      <c r="O31" s="3">
        <f t="shared" si="20"/>
        <v>34.21496904895892</v>
      </c>
      <c r="P31" s="3">
        <f t="shared" si="21"/>
        <v>0.73157006190208218</v>
      </c>
      <c r="Q31">
        <v>892</v>
      </c>
      <c r="R31">
        <v>13</v>
      </c>
      <c r="S31">
        <v>595</v>
      </c>
      <c r="T31" s="1">
        <f t="shared" si="22"/>
        <v>608</v>
      </c>
      <c r="U31" s="3">
        <f t="shared" si="23"/>
        <v>2.138157894736842</v>
      </c>
      <c r="V31">
        <v>38</v>
      </c>
      <c r="W31" s="3">
        <f t="shared" si="24"/>
        <v>6.25</v>
      </c>
      <c r="X31">
        <v>570</v>
      </c>
      <c r="Y31">
        <v>0</v>
      </c>
      <c r="Z31">
        <v>0</v>
      </c>
      <c r="AA31">
        <v>11</v>
      </c>
      <c r="AB31" s="3">
        <f t="shared" si="25"/>
        <v>1.8092105263157894</v>
      </c>
      <c r="AC31">
        <v>55</v>
      </c>
      <c r="AD31" s="3">
        <f t="shared" si="26"/>
        <v>9.0460526315789469</v>
      </c>
      <c r="AE31">
        <v>38</v>
      </c>
      <c r="AF31" s="3">
        <f t="shared" si="27"/>
        <v>6.25</v>
      </c>
      <c r="AG31">
        <v>36</v>
      </c>
      <c r="AH31" s="3">
        <f t="shared" si="28"/>
        <v>5.9210526315789478</v>
      </c>
      <c r="AI31">
        <v>148</v>
      </c>
      <c r="AJ31" s="3">
        <f t="shared" si="29"/>
        <v>24.342105263157894</v>
      </c>
      <c r="AK31">
        <v>183</v>
      </c>
      <c r="AL31" s="3">
        <f t="shared" si="30"/>
        <v>30.098684210526315</v>
      </c>
      <c r="AM31">
        <v>10</v>
      </c>
      <c r="AN31" s="3">
        <f t="shared" si="31"/>
        <v>1.6447368421052631</v>
      </c>
      <c r="AO31">
        <v>18</v>
      </c>
      <c r="AP31" s="3">
        <f t="shared" si="32"/>
        <v>2.9605263157894739</v>
      </c>
      <c r="AQ31">
        <v>17</v>
      </c>
      <c r="AR31" s="3">
        <f t="shared" si="33"/>
        <v>2.7960526315789473</v>
      </c>
      <c r="AS31">
        <v>54</v>
      </c>
      <c r="AT31" s="3">
        <f t="shared" si="34"/>
        <v>8.8815789473684212</v>
      </c>
      <c r="AU31" t="s">
        <v>369</v>
      </c>
      <c r="AV31" s="72">
        <f>Дума_партии[[#This Row],[КОИБ]]</f>
        <v>2017</v>
      </c>
      <c r="AW31" s="1">
        <f>IF(Дума_партии[[#This Row],[Наблюдателей]]=0,"",Дума_партии[[#This Row],[Наблюдателей]])</f>
        <v>1</v>
      </c>
      <c r="AX31"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39.863013698630112</v>
      </c>
      <c r="AY31" s="10">
        <f>2*(Мособлдума_партии[[#This Row],[6. Всероссийская политическая партия "ЕДИНАЯ РОССИЯ"]]-(AB$203/100)*Мособлдума_партии[[#This Row],[Число действительных бюллетеней]])</f>
        <v>58.199999999999989</v>
      </c>
      <c r="AZ31" s="10">
        <f>(Мособлдума_партии[[#This Row],[Вброс]]+Мособлдума_партии[[#This Row],[Перекладывание]])/2</f>
        <v>49.031506849315051</v>
      </c>
    </row>
    <row r="32" spans="2:52" x14ac:dyDescent="0.4">
      <c r="B32" t="s">
        <v>74</v>
      </c>
      <c r="C32" t="s">
        <v>102</v>
      </c>
      <c r="D32" t="s">
        <v>138</v>
      </c>
      <c r="E32" t="s">
        <v>160</v>
      </c>
      <c r="F32" s="8">
        <f t="shared" ca="1" si="19"/>
        <v>2064</v>
      </c>
      <c r="G32" s="8" t="str">
        <f>Дума_партии[[#This Row],[Местоположение]]</f>
        <v>Голицыно</v>
      </c>
      <c r="H32" s="2" t="str">
        <f>LEFT(Мособлдума_партии[[#This Row],[tik]],4)&amp;"."&amp;IF(ISNUMBER(VALUE(RIGHT(Мособлдума_партии[[#This Row],[tik]]))),RIGHT(Мособлдума_партии[[#This Row],[tik]]),"")</f>
        <v>Один.</v>
      </c>
      <c r="I32">
        <v>1121</v>
      </c>
      <c r="J32" s="8">
        <f>Мособлдума_партии[[#This Row],[Число избирателей, внесенных в список на момент окончания голосования]]</f>
        <v>1121</v>
      </c>
      <c r="K32">
        <v>1000</v>
      </c>
      <c r="L32" s="1"/>
      <c r="M32">
        <v>396</v>
      </c>
      <c r="N32">
        <v>34</v>
      </c>
      <c r="O32" s="3">
        <f t="shared" si="20"/>
        <v>38.358608385370204</v>
      </c>
      <c r="P32" s="3">
        <f t="shared" si="21"/>
        <v>3.0330062444246209</v>
      </c>
      <c r="Q32">
        <v>570</v>
      </c>
      <c r="R32">
        <v>34</v>
      </c>
      <c r="S32">
        <v>396</v>
      </c>
      <c r="T32" s="1">
        <f t="shared" si="22"/>
        <v>430</v>
      </c>
      <c r="U32" s="3">
        <f t="shared" si="23"/>
        <v>7.9069767441860463</v>
      </c>
      <c r="V32">
        <v>16</v>
      </c>
      <c r="W32" s="3">
        <f t="shared" si="24"/>
        <v>3.7209302325581395</v>
      </c>
      <c r="X32">
        <v>414</v>
      </c>
      <c r="Y32">
        <v>0</v>
      </c>
      <c r="Z32">
        <v>0</v>
      </c>
      <c r="AA32">
        <v>7</v>
      </c>
      <c r="AB32" s="3">
        <f t="shared" si="25"/>
        <v>1.6279069767441861</v>
      </c>
      <c r="AC32">
        <v>43</v>
      </c>
      <c r="AD32" s="3">
        <f t="shared" si="26"/>
        <v>10</v>
      </c>
      <c r="AE32">
        <v>37</v>
      </c>
      <c r="AF32" s="3">
        <f t="shared" si="27"/>
        <v>8.604651162790697</v>
      </c>
      <c r="AG32">
        <v>37</v>
      </c>
      <c r="AH32" s="3">
        <f t="shared" si="28"/>
        <v>8.604651162790697</v>
      </c>
      <c r="AI32">
        <v>113</v>
      </c>
      <c r="AJ32" s="3">
        <f t="shared" si="29"/>
        <v>26.279069767441861</v>
      </c>
      <c r="AK32">
        <v>109</v>
      </c>
      <c r="AL32" s="3">
        <f t="shared" si="30"/>
        <v>25.348837209302324</v>
      </c>
      <c r="AM32">
        <v>9</v>
      </c>
      <c r="AN32" s="3">
        <f t="shared" si="31"/>
        <v>2.0930232558139537</v>
      </c>
      <c r="AO32">
        <v>10</v>
      </c>
      <c r="AP32" s="3">
        <f t="shared" si="32"/>
        <v>2.3255813953488373</v>
      </c>
      <c r="AQ32">
        <v>15</v>
      </c>
      <c r="AR32" s="3">
        <f t="shared" si="33"/>
        <v>3.4883720930232558</v>
      </c>
      <c r="AS32">
        <v>34</v>
      </c>
      <c r="AT32" s="3">
        <f t="shared" si="34"/>
        <v>7.9069767441860463</v>
      </c>
      <c r="AU32" t="s">
        <v>369</v>
      </c>
      <c r="AV32" s="72">
        <f>Дума_партии[[#This Row],[КОИБ]]</f>
        <v>2017</v>
      </c>
      <c r="AW32" s="1" t="str">
        <f>IF(Дума_партии[[#This Row],[Наблюдателей]]=0,"",Дума_партии[[#This Row],[Наблюдателей]])</f>
        <v/>
      </c>
      <c r="AX32"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-3.8082191780821972</v>
      </c>
      <c r="AY32" s="10">
        <f>2*(Мособлдума_партии[[#This Row],[6. Всероссийская политическая партия "ЕДИНАЯ РОССИЯ"]]-(AB$203/100)*Мособлдума_партии[[#This Row],[Число действительных бюллетеней]])</f>
        <v>-5.5600000000000023</v>
      </c>
      <c r="AZ32" s="10">
        <f>(Мособлдума_партии[[#This Row],[Вброс]]+Мособлдума_партии[[#This Row],[Перекладывание]])/2</f>
        <v>-4.6841095890410998</v>
      </c>
    </row>
    <row r="33" spans="2:52" x14ac:dyDescent="0.4">
      <c r="B33" t="s">
        <v>74</v>
      </c>
      <c r="C33" t="s">
        <v>102</v>
      </c>
      <c r="D33" t="s">
        <v>138</v>
      </c>
      <c r="E33" t="s">
        <v>161</v>
      </c>
      <c r="F33" s="8">
        <f t="shared" ca="1" si="19"/>
        <v>2065</v>
      </c>
      <c r="G33" s="8" t="str">
        <f>Дума_партии[[#This Row],[Местоположение]]</f>
        <v>Голицыно</v>
      </c>
      <c r="H33" s="2" t="str">
        <f>LEFT(Мособлдума_партии[[#This Row],[tik]],4)&amp;"."&amp;IF(ISNUMBER(VALUE(RIGHT(Мособлдума_партии[[#This Row],[tik]]))),RIGHT(Мособлдума_партии[[#This Row],[tik]]),"")</f>
        <v>Один.</v>
      </c>
      <c r="I33">
        <v>2249</v>
      </c>
      <c r="J33" s="8">
        <f>Мособлдума_партии[[#This Row],[Число избирателей, внесенных в список на момент окончания голосования]]</f>
        <v>2249</v>
      </c>
      <c r="K33">
        <v>2000</v>
      </c>
      <c r="L33" s="1"/>
      <c r="M33">
        <v>638</v>
      </c>
      <c r="N33">
        <v>27</v>
      </c>
      <c r="O33" s="3">
        <f t="shared" si="20"/>
        <v>29.568697198755004</v>
      </c>
      <c r="P33" s="3">
        <f t="shared" si="21"/>
        <v>1.2005335704757669</v>
      </c>
      <c r="Q33">
        <v>1335</v>
      </c>
      <c r="R33">
        <v>27</v>
      </c>
      <c r="S33">
        <v>638</v>
      </c>
      <c r="T33" s="1">
        <f t="shared" si="22"/>
        <v>665</v>
      </c>
      <c r="U33" s="3">
        <f t="shared" si="23"/>
        <v>4.0601503759398501</v>
      </c>
      <c r="V33">
        <v>40</v>
      </c>
      <c r="W33" s="3">
        <f t="shared" si="24"/>
        <v>6.0150375939849621</v>
      </c>
      <c r="X33">
        <v>625</v>
      </c>
      <c r="Y33">
        <v>0</v>
      </c>
      <c r="Z33">
        <v>0</v>
      </c>
      <c r="AA33">
        <v>16</v>
      </c>
      <c r="AB33" s="3">
        <f t="shared" si="25"/>
        <v>2.4060150375939848</v>
      </c>
      <c r="AC33">
        <v>64</v>
      </c>
      <c r="AD33" s="3">
        <f t="shared" si="26"/>
        <v>9.6240601503759393</v>
      </c>
      <c r="AE33">
        <v>42</v>
      </c>
      <c r="AF33" s="3">
        <f t="shared" si="27"/>
        <v>6.3157894736842106</v>
      </c>
      <c r="AG33">
        <v>40</v>
      </c>
      <c r="AH33" s="3">
        <f t="shared" si="28"/>
        <v>6.0150375939849621</v>
      </c>
      <c r="AI33">
        <v>183</v>
      </c>
      <c r="AJ33" s="3">
        <f t="shared" si="29"/>
        <v>27.518796992481203</v>
      </c>
      <c r="AK33">
        <v>163</v>
      </c>
      <c r="AL33" s="3">
        <f t="shared" si="30"/>
        <v>24.511278195488721</v>
      </c>
      <c r="AM33">
        <v>18</v>
      </c>
      <c r="AN33" s="3">
        <f t="shared" si="31"/>
        <v>2.7067669172932329</v>
      </c>
      <c r="AO33">
        <v>23</v>
      </c>
      <c r="AP33" s="3">
        <f t="shared" si="32"/>
        <v>3.4586466165413534</v>
      </c>
      <c r="AQ33">
        <v>22</v>
      </c>
      <c r="AR33" s="3">
        <f t="shared" si="33"/>
        <v>3.3082706766917291</v>
      </c>
      <c r="AS33">
        <v>54</v>
      </c>
      <c r="AT33" s="3">
        <f t="shared" si="34"/>
        <v>8.1203007518797001</v>
      </c>
      <c r="AU33" t="s">
        <v>369</v>
      </c>
      <c r="AV33" s="72">
        <f>Дума_партии[[#This Row],[КОИБ]]</f>
        <v>2017</v>
      </c>
      <c r="AW33" s="1" t="str">
        <f>IF(Дума_партии[[#This Row],[Наблюдателей]]=0,"",Дума_партии[[#This Row],[Наблюдателей]])</f>
        <v/>
      </c>
      <c r="AX33"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-7.8767123287671268</v>
      </c>
      <c r="AY33" s="10">
        <f>2*(Мособлдума_партии[[#This Row],[6. Всероссийская политическая партия "ЕДИНАЯ РОССИЯ"]]-(AB$203/100)*Мособлдума_партии[[#This Row],[Число действительных бюллетеней]])</f>
        <v>-11.5</v>
      </c>
      <c r="AZ33" s="10">
        <f>(Мособлдума_партии[[#This Row],[Вброс]]+Мособлдума_партии[[#This Row],[Перекладывание]])/2</f>
        <v>-9.6883561643835634</v>
      </c>
    </row>
    <row r="34" spans="2:52" x14ac:dyDescent="0.4">
      <c r="B34" t="s">
        <v>74</v>
      </c>
      <c r="C34" t="s">
        <v>102</v>
      </c>
      <c r="D34" t="s">
        <v>138</v>
      </c>
      <c r="E34" t="s">
        <v>162</v>
      </c>
      <c r="F34" s="8">
        <f t="shared" ca="1" si="19"/>
        <v>2067</v>
      </c>
      <c r="G34" s="8" t="str">
        <f>Дума_партии[[#This Row],[Местоположение]]</f>
        <v>Голицыно</v>
      </c>
      <c r="H34" s="2" t="str">
        <f>LEFT(Мособлдума_партии[[#This Row],[tik]],4)&amp;"."&amp;IF(ISNUMBER(VALUE(RIGHT(Мособлдума_партии[[#This Row],[tik]]))),RIGHT(Мособлдума_партии[[#This Row],[tik]]),"")</f>
        <v>Один.</v>
      </c>
      <c r="I34">
        <v>1262</v>
      </c>
      <c r="J34" s="8">
        <f>Мособлдума_партии[[#This Row],[Число избирателей, внесенных в список на момент окончания голосования]]</f>
        <v>1262</v>
      </c>
      <c r="K34">
        <v>1000</v>
      </c>
      <c r="L34" s="1"/>
      <c r="M34">
        <v>331</v>
      </c>
      <c r="N34">
        <v>160</v>
      </c>
      <c r="O34" s="3">
        <f t="shared" si="20"/>
        <v>38.906497622820922</v>
      </c>
      <c r="P34" s="3">
        <f t="shared" si="21"/>
        <v>12.678288431061807</v>
      </c>
      <c r="Q34">
        <v>509</v>
      </c>
      <c r="R34">
        <v>160</v>
      </c>
      <c r="S34">
        <v>331</v>
      </c>
      <c r="T34" s="1">
        <f t="shared" si="22"/>
        <v>491</v>
      </c>
      <c r="U34" s="3">
        <f t="shared" si="23"/>
        <v>32.586558044806516</v>
      </c>
      <c r="V34">
        <v>12</v>
      </c>
      <c r="W34" s="3">
        <f t="shared" si="24"/>
        <v>2.443991853360489</v>
      </c>
      <c r="X34">
        <v>479</v>
      </c>
      <c r="Y34">
        <v>0</v>
      </c>
      <c r="Z34">
        <v>0</v>
      </c>
      <c r="AA34">
        <v>11</v>
      </c>
      <c r="AB34" s="3">
        <f t="shared" si="25"/>
        <v>2.2403258655804481</v>
      </c>
      <c r="AC34">
        <v>33</v>
      </c>
      <c r="AD34" s="3">
        <f t="shared" si="26"/>
        <v>6.7209775967413439</v>
      </c>
      <c r="AE34">
        <v>30</v>
      </c>
      <c r="AF34" s="3">
        <f t="shared" si="27"/>
        <v>6.1099796334012222</v>
      </c>
      <c r="AG34">
        <v>26</v>
      </c>
      <c r="AH34" s="3">
        <f t="shared" si="28"/>
        <v>5.2953156822810588</v>
      </c>
      <c r="AI34">
        <v>81</v>
      </c>
      <c r="AJ34" s="3">
        <f t="shared" si="29"/>
        <v>16.4969450101833</v>
      </c>
      <c r="AK34">
        <v>231</v>
      </c>
      <c r="AL34" s="3">
        <f t="shared" si="30"/>
        <v>47.046843177189409</v>
      </c>
      <c r="AM34">
        <v>7</v>
      </c>
      <c r="AN34" s="3">
        <f t="shared" si="31"/>
        <v>1.4256619144602851</v>
      </c>
      <c r="AO34">
        <v>8</v>
      </c>
      <c r="AP34" s="3">
        <f t="shared" si="32"/>
        <v>1.629327902240326</v>
      </c>
      <c r="AQ34">
        <v>12</v>
      </c>
      <c r="AR34" s="3">
        <f t="shared" si="33"/>
        <v>2.443991853360489</v>
      </c>
      <c r="AS34">
        <v>40</v>
      </c>
      <c r="AT34" s="3">
        <f t="shared" si="34"/>
        <v>8.146639511201629</v>
      </c>
      <c r="AU34" t="s">
        <v>369</v>
      </c>
      <c r="AV34" s="72">
        <f>Дума_партии[[#This Row],[КОИБ]]</f>
        <v>2017</v>
      </c>
      <c r="AW34" s="1" t="str">
        <f>IF(Дума_партии[[#This Row],[Наблюдателей]]=0,"",Дума_партии[[#This Row],[Наблюдателей]])</f>
        <v/>
      </c>
      <c r="AX34"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139.27397260273972</v>
      </c>
      <c r="AY34" s="10">
        <f>2*(Мособлдума_партии[[#This Row],[6. Всероссийская политическая партия "ЕДИНАЯ РОССИЯ"]]-(AB$203/100)*Мособлдума_партии[[#This Row],[Число действительных бюллетеней]])</f>
        <v>203.33999999999997</v>
      </c>
      <c r="AZ34" s="10">
        <f>(Мособлдума_партии[[#This Row],[Вброс]]+Мособлдума_партии[[#This Row],[Перекладывание]])/2</f>
        <v>171.30698630136985</v>
      </c>
    </row>
    <row r="35" spans="2:52" x14ac:dyDescent="0.4">
      <c r="B35" t="s">
        <v>74</v>
      </c>
      <c r="C35" t="s">
        <v>102</v>
      </c>
      <c r="D35" t="s">
        <v>138</v>
      </c>
      <c r="E35" t="s">
        <v>163</v>
      </c>
      <c r="F35" s="8">
        <f t="shared" ca="1" si="19"/>
        <v>2068</v>
      </c>
      <c r="G35" s="8" t="str">
        <f>Дума_партии[[#This Row],[Местоположение]]</f>
        <v>Голицыно</v>
      </c>
      <c r="H35" s="2" t="str">
        <f>LEFT(Мособлдума_партии[[#This Row],[tik]],4)&amp;"."&amp;IF(ISNUMBER(VALUE(RIGHT(Мособлдума_партии[[#This Row],[tik]]))),RIGHT(Мособлдума_партии[[#This Row],[tik]]),"")</f>
        <v>Один.</v>
      </c>
      <c r="I35">
        <v>553</v>
      </c>
      <c r="J35" s="8">
        <f>Мособлдума_партии[[#This Row],[Число избирателей, внесенных в список на момент окончания голосования]]</f>
        <v>553</v>
      </c>
      <c r="K35">
        <v>750</v>
      </c>
      <c r="L35" s="1"/>
      <c r="M35">
        <v>254</v>
      </c>
      <c r="N35">
        <v>80</v>
      </c>
      <c r="O35" s="3">
        <f t="shared" si="20"/>
        <v>60.397830018083184</v>
      </c>
      <c r="P35" s="3">
        <f t="shared" si="21"/>
        <v>14.466546112115733</v>
      </c>
      <c r="Q35">
        <v>416</v>
      </c>
      <c r="R35">
        <v>80</v>
      </c>
      <c r="S35">
        <v>254</v>
      </c>
      <c r="T35" s="1">
        <f t="shared" si="22"/>
        <v>334</v>
      </c>
      <c r="U35" s="3">
        <f t="shared" si="23"/>
        <v>23.952095808383234</v>
      </c>
      <c r="V35">
        <v>11</v>
      </c>
      <c r="W35" s="3">
        <f t="shared" si="24"/>
        <v>3.2934131736526946</v>
      </c>
      <c r="X35">
        <v>323</v>
      </c>
      <c r="Y35">
        <v>0</v>
      </c>
      <c r="Z35">
        <v>0</v>
      </c>
      <c r="AA35">
        <v>3</v>
      </c>
      <c r="AB35" s="3">
        <f t="shared" si="25"/>
        <v>0.89820359281437123</v>
      </c>
      <c r="AC35">
        <v>31</v>
      </c>
      <c r="AD35" s="3">
        <f t="shared" si="26"/>
        <v>9.2814371257485035</v>
      </c>
      <c r="AE35">
        <v>24</v>
      </c>
      <c r="AF35" s="3">
        <f t="shared" si="27"/>
        <v>7.1856287425149699</v>
      </c>
      <c r="AG35">
        <v>17</v>
      </c>
      <c r="AH35" s="3">
        <f t="shared" si="28"/>
        <v>5.0898203592814371</v>
      </c>
      <c r="AI35">
        <v>65</v>
      </c>
      <c r="AJ35" s="3">
        <f t="shared" si="29"/>
        <v>19.461077844311376</v>
      </c>
      <c r="AK35">
        <v>131</v>
      </c>
      <c r="AL35" s="3">
        <f t="shared" si="30"/>
        <v>39.221556886227546</v>
      </c>
      <c r="AM35">
        <v>5</v>
      </c>
      <c r="AN35" s="3">
        <f t="shared" si="31"/>
        <v>1.4970059880239521</v>
      </c>
      <c r="AO35">
        <v>8</v>
      </c>
      <c r="AP35" s="3">
        <f t="shared" si="32"/>
        <v>2.3952095808383231</v>
      </c>
      <c r="AQ35">
        <v>18</v>
      </c>
      <c r="AR35" s="3">
        <f t="shared" si="33"/>
        <v>5.3892215568862278</v>
      </c>
      <c r="AS35">
        <v>21</v>
      </c>
      <c r="AT35" s="3">
        <f t="shared" si="34"/>
        <v>6.2874251497005984</v>
      </c>
      <c r="AU35" t="s">
        <v>369</v>
      </c>
      <c r="AV35" s="72">
        <f>Дума_партии[[#This Row],[КОИБ]]</f>
        <v>2017</v>
      </c>
      <c r="AW35" s="1" t="str">
        <f>IF(Дума_партии[[#This Row],[Наблюдателей]]=0,"",Дума_партии[[#This Row],[Наблюдателей]])</f>
        <v/>
      </c>
      <c r="AX35"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59.986301369863014</v>
      </c>
      <c r="AY35" s="10">
        <f>2*(Мособлдума_партии[[#This Row],[6. Всероссийская политическая партия "ЕДИНАЯ РОССИЯ"]]-(AB$203/100)*Мособлдума_партии[[#This Row],[Число действительных бюллетеней]])</f>
        <v>87.579999999999984</v>
      </c>
      <c r="AZ35" s="10">
        <f>(Мособлдума_партии[[#This Row],[Вброс]]+Мособлдума_партии[[#This Row],[Перекладывание]])/2</f>
        <v>73.783150684931499</v>
      </c>
    </row>
    <row r="36" spans="2:52" x14ac:dyDescent="0.4">
      <c r="B36" t="s">
        <v>74</v>
      </c>
      <c r="C36" t="s">
        <v>102</v>
      </c>
      <c r="D36" t="s">
        <v>138</v>
      </c>
      <c r="E36" t="s">
        <v>164</v>
      </c>
      <c r="F36" s="8">
        <f t="shared" ca="1" si="19"/>
        <v>2069</v>
      </c>
      <c r="G36" s="8" t="str">
        <f>Дума_партии[[#This Row],[Местоположение]]</f>
        <v>пос. НИИ Радио</v>
      </c>
      <c r="H36" s="2" t="str">
        <f>LEFT(Мособлдума_партии[[#This Row],[tik]],4)&amp;"."&amp;IF(ISNUMBER(VALUE(RIGHT(Мособлдума_партии[[#This Row],[tik]]))),RIGHT(Мособлдума_партии[[#This Row],[tik]]),"")</f>
        <v>Один.</v>
      </c>
      <c r="I36">
        <v>932</v>
      </c>
      <c r="J36" s="8">
        <f>Мособлдума_партии[[#This Row],[Число избирателей, внесенных в список на момент окончания голосования]]</f>
        <v>932</v>
      </c>
      <c r="K36">
        <v>850</v>
      </c>
      <c r="L36" s="1"/>
      <c r="M36">
        <v>237</v>
      </c>
      <c r="N36">
        <v>141</v>
      </c>
      <c r="O36" s="3">
        <f t="shared" si="20"/>
        <v>40.557939914163093</v>
      </c>
      <c r="P36" s="3">
        <f t="shared" si="21"/>
        <v>15.128755364806867</v>
      </c>
      <c r="Q36">
        <v>472</v>
      </c>
      <c r="R36">
        <v>141</v>
      </c>
      <c r="S36">
        <v>237</v>
      </c>
      <c r="T36" s="1">
        <f t="shared" si="22"/>
        <v>378</v>
      </c>
      <c r="U36" s="3">
        <f t="shared" si="23"/>
        <v>37.301587301587304</v>
      </c>
      <c r="V36">
        <v>6</v>
      </c>
      <c r="W36" s="3">
        <f t="shared" si="24"/>
        <v>1.5873015873015872</v>
      </c>
      <c r="X36">
        <v>372</v>
      </c>
      <c r="Y36">
        <v>0</v>
      </c>
      <c r="Z36">
        <v>0</v>
      </c>
      <c r="AA36">
        <v>4</v>
      </c>
      <c r="AB36" s="3">
        <f t="shared" si="25"/>
        <v>1.0582010582010581</v>
      </c>
      <c r="AC36">
        <v>13</v>
      </c>
      <c r="AD36" s="3">
        <f t="shared" si="26"/>
        <v>3.4391534391534391</v>
      </c>
      <c r="AE36">
        <v>23</v>
      </c>
      <c r="AF36" s="3">
        <f t="shared" si="27"/>
        <v>6.0846560846560847</v>
      </c>
      <c r="AG36">
        <v>8</v>
      </c>
      <c r="AH36" s="3">
        <f t="shared" si="28"/>
        <v>2.1164021164021163</v>
      </c>
      <c r="AI36">
        <v>64</v>
      </c>
      <c r="AJ36" s="3">
        <f t="shared" si="29"/>
        <v>16.93121693121693</v>
      </c>
      <c r="AK36">
        <v>228</v>
      </c>
      <c r="AL36" s="3">
        <f t="shared" si="30"/>
        <v>60.317460317460316</v>
      </c>
      <c r="AM36">
        <v>3</v>
      </c>
      <c r="AN36" s="3">
        <f t="shared" si="31"/>
        <v>0.79365079365079361</v>
      </c>
      <c r="AO36">
        <v>1</v>
      </c>
      <c r="AP36" s="3">
        <f t="shared" si="32"/>
        <v>0.26455026455026454</v>
      </c>
      <c r="AQ36">
        <v>7</v>
      </c>
      <c r="AR36" s="3">
        <f t="shared" si="33"/>
        <v>1.8518518518518519</v>
      </c>
      <c r="AS36">
        <v>21</v>
      </c>
      <c r="AT36" s="3">
        <f t="shared" si="34"/>
        <v>5.5555555555555554</v>
      </c>
      <c r="AU36" t="s">
        <v>369</v>
      </c>
      <c r="AV36" s="72" t="str">
        <f>Дума_партии[[#This Row],[КОИБ]]</f>
        <v>N</v>
      </c>
      <c r="AW36" s="1" t="str">
        <f>IF(Дума_партии[[#This Row],[Наблюдателей]]=0,"",Дума_партии[[#This Row],[Наблюдателей]])</f>
        <v/>
      </c>
      <c r="AX36"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174.73972602739724</v>
      </c>
      <c r="AY36" s="10">
        <f>2*(Мособлдума_партии[[#This Row],[6. Всероссийская политическая партия "ЕДИНАЯ РОССИЯ"]]-(AB$203/100)*Мособлдума_партии[[#This Row],[Число действительных бюллетеней]])</f>
        <v>255.11999999999998</v>
      </c>
      <c r="AZ36" s="10">
        <f>(Мособлдума_партии[[#This Row],[Вброс]]+Мособлдума_партии[[#This Row],[Перекладывание]])/2</f>
        <v>214.92986301369859</v>
      </c>
    </row>
    <row r="37" spans="2:52" x14ac:dyDescent="0.4">
      <c r="B37" t="s">
        <v>74</v>
      </c>
      <c r="C37" t="s">
        <v>366</v>
      </c>
      <c r="D37" t="s">
        <v>138</v>
      </c>
      <c r="E37" t="s">
        <v>165</v>
      </c>
      <c r="F37" s="8">
        <f t="shared" ca="1" si="19"/>
        <v>2074</v>
      </c>
      <c r="G37" s="8" t="str">
        <f>Дума_партии[[#This Row],[Местоположение]]</f>
        <v>Горки-2</v>
      </c>
      <c r="H37" s="2" t="str">
        <f>LEFT(Мособлдума_партии[[#This Row],[tik]],4)&amp;"."&amp;IF(ISNUMBER(VALUE(RIGHT(Мособлдума_партии[[#This Row],[tik]]))),RIGHT(Мособлдума_партии[[#This Row],[tik]]),"")</f>
        <v>Один.</v>
      </c>
      <c r="I37">
        <v>2579</v>
      </c>
      <c r="J37" s="8">
        <f>Мособлдума_партии[[#This Row],[Число избирателей, внесенных в список на момент окончания голосования]]</f>
        <v>2579</v>
      </c>
      <c r="K37">
        <v>2000</v>
      </c>
      <c r="L37" s="1"/>
      <c r="M37">
        <v>895</v>
      </c>
      <c r="N37">
        <v>669</v>
      </c>
      <c r="O37" s="3">
        <f t="shared" si="20"/>
        <v>60.643660333462584</v>
      </c>
      <c r="P37" s="3">
        <f t="shared" si="21"/>
        <v>25.940286932919737</v>
      </c>
      <c r="Q37">
        <v>436</v>
      </c>
      <c r="R37">
        <v>669</v>
      </c>
      <c r="S37">
        <v>895</v>
      </c>
      <c r="T37" s="1">
        <f t="shared" si="22"/>
        <v>1564</v>
      </c>
      <c r="U37" s="3">
        <f t="shared" si="23"/>
        <v>42.774936061381077</v>
      </c>
      <c r="V37">
        <v>34</v>
      </c>
      <c r="W37" s="3">
        <f t="shared" si="24"/>
        <v>2.1739130434782608</v>
      </c>
      <c r="X37">
        <v>1530</v>
      </c>
      <c r="Y37">
        <v>0</v>
      </c>
      <c r="Z37">
        <v>0</v>
      </c>
      <c r="AA37">
        <v>15</v>
      </c>
      <c r="AB37" s="3">
        <f t="shared" si="25"/>
        <v>0.95907928388746799</v>
      </c>
      <c r="AC37">
        <v>98</v>
      </c>
      <c r="AD37" s="3">
        <f t="shared" si="26"/>
        <v>6.2659846547314579</v>
      </c>
      <c r="AE37">
        <v>81</v>
      </c>
      <c r="AF37" s="3">
        <f t="shared" si="27"/>
        <v>5.1790281329923271</v>
      </c>
      <c r="AG37">
        <v>81</v>
      </c>
      <c r="AH37" s="3">
        <f t="shared" si="28"/>
        <v>5.1790281329923271</v>
      </c>
      <c r="AI37">
        <v>221</v>
      </c>
      <c r="AJ37" s="3">
        <f t="shared" si="29"/>
        <v>14.130434782608695</v>
      </c>
      <c r="AK37">
        <v>849</v>
      </c>
      <c r="AL37" s="3">
        <f t="shared" si="30"/>
        <v>54.283887468030692</v>
      </c>
      <c r="AM37">
        <v>24</v>
      </c>
      <c r="AN37" s="3">
        <f t="shared" si="31"/>
        <v>1.5345268542199488</v>
      </c>
      <c r="AO37">
        <v>23</v>
      </c>
      <c r="AP37" s="3">
        <f t="shared" si="32"/>
        <v>1.4705882352941178</v>
      </c>
      <c r="AQ37">
        <v>47</v>
      </c>
      <c r="AR37" s="3">
        <f t="shared" si="33"/>
        <v>3.0051150895140664</v>
      </c>
      <c r="AS37">
        <v>91</v>
      </c>
      <c r="AT37" s="3">
        <f t="shared" si="34"/>
        <v>5.8184143222506393</v>
      </c>
      <c r="AU37" t="s">
        <v>368</v>
      </c>
      <c r="AV37" s="72">
        <f>Дума_партии[[#This Row],[КОИБ]]</f>
        <v>2017</v>
      </c>
      <c r="AW37" s="1" t="str">
        <f>IF(Дума_партии[[#This Row],[Наблюдателей]]=0,"",Дума_партии[[#This Row],[Наблюдателей]])</f>
        <v/>
      </c>
      <c r="AX37"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597.1232876712329</v>
      </c>
      <c r="AY37" s="10">
        <f>2*(Мособлдума_партии[[#This Row],[6. Всероссийская политическая партия "ЕДИНАЯ РОССИЯ"]]-(AB$203/100)*Мособлдума_партии[[#This Row],[Число действительных бюллетеней]])</f>
        <v>871.8</v>
      </c>
      <c r="AZ37" s="10">
        <f>(Мособлдума_партии[[#This Row],[Вброс]]+Мособлдума_партии[[#This Row],[Перекладывание]])/2</f>
        <v>734.46164383561643</v>
      </c>
    </row>
    <row r="38" spans="2:52" x14ac:dyDescent="0.4">
      <c r="B38" t="s">
        <v>74</v>
      </c>
      <c r="C38" t="s">
        <v>366</v>
      </c>
      <c r="D38" t="s">
        <v>138</v>
      </c>
      <c r="E38" t="s">
        <v>166</v>
      </c>
      <c r="F38" s="8">
        <f t="shared" ca="1" si="19"/>
        <v>3605</v>
      </c>
      <c r="G38" s="8" t="str">
        <f>Дума_партии[[#This Row],[Местоположение]]</f>
        <v>Назарьево</v>
      </c>
      <c r="H38" s="2" t="str">
        <f>LEFT(Мособлдума_партии[[#This Row],[tik]],4)&amp;"."&amp;IF(ISNUMBER(VALUE(RIGHT(Мособлдума_партии[[#This Row],[tik]]))),RIGHT(Мособлдума_партии[[#This Row],[tik]]),"")</f>
        <v>Один.</v>
      </c>
      <c r="I38">
        <v>1659</v>
      </c>
      <c r="J38" s="8">
        <f>Мособлдума_партии[[#This Row],[Число избирателей, внесенных в список на момент окончания голосования]]</f>
        <v>1659</v>
      </c>
      <c r="K38">
        <v>1500</v>
      </c>
      <c r="L38" s="1"/>
      <c r="M38">
        <v>1087</v>
      </c>
      <c r="N38">
        <v>255</v>
      </c>
      <c r="O38" s="3">
        <f t="shared" si="20"/>
        <v>80.892103676913806</v>
      </c>
      <c r="P38" s="3">
        <f t="shared" si="21"/>
        <v>15.370705244122966</v>
      </c>
      <c r="Q38">
        <v>158</v>
      </c>
      <c r="R38">
        <v>255</v>
      </c>
      <c r="S38">
        <v>1087</v>
      </c>
      <c r="T38" s="1">
        <f t="shared" si="22"/>
        <v>1342</v>
      </c>
      <c r="U38" s="3">
        <f t="shared" si="23"/>
        <v>19.001490312965721</v>
      </c>
      <c r="V38">
        <v>0</v>
      </c>
      <c r="W38" s="3">
        <f t="shared" si="24"/>
        <v>0</v>
      </c>
      <c r="X38">
        <v>1342</v>
      </c>
      <c r="Y38">
        <v>0</v>
      </c>
      <c r="Z38">
        <v>0</v>
      </c>
      <c r="AA38">
        <v>26</v>
      </c>
      <c r="AB38" s="3">
        <f t="shared" si="25"/>
        <v>1.9374068554396424</v>
      </c>
      <c r="AC38">
        <v>66</v>
      </c>
      <c r="AD38" s="3">
        <f t="shared" si="26"/>
        <v>4.918032786885246</v>
      </c>
      <c r="AE38">
        <v>18</v>
      </c>
      <c r="AF38" s="3">
        <f t="shared" si="27"/>
        <v>1.3412816691505216</v>
      </c>
      <c r="AG38">
        <v>13</v>
      </c>
      <c r="AH38" s="3">
        <f t="shared" si="28"/>
        <v>0.96870342771982121</v>
      </c>
      <c r="AI38">
        <v>128</v>
      </c>
      <c r="AJ38" s="3">
        <f t="shared" si="29"/>
        <v>9.5380029806259312</v>
      </c>
      <c r="AK38">
        <v>977</v>
      </c>
      <c r="AL38" s="3">
        <f t="shared" si="30"/>
        <v>72.801788375558871</v>
      </c>
      <c r="AM38">
        <v>19</v>
      </c>
      <c r="AN38" s="3">
        <f t="shared" si="31"/>
        <v>1.4157973174366616</v>
      </c>
      <c r="AO38">
        <v>22</v>
      </c>
      <c r="AP38" s="3">
        <f t="shared" si="32"/>
        <v>1.639344262295082</v>
      </c>
      <c r="AQ38">
        <v>19</v>
      </c>
      <c r="AR38" s="3">
        <f t="shared" si="33"/>
        <v>1.4157973174366616</v>
      </c>
      <c r="AS38">
        <v>54</v>
      </c>
      <c r="AT38" s="3">
        <f t="shared" si="34"/>
        <v>4.0238450074515653</v>
      </c>
      <c r="AU38" t="s">
        <v>368</v>
      </c>
      <c r="AV38" s="72" t="str">
        <f>Дума_партии[[#This Row],[КОИБ]]</f>
        <v>N</v>
      </c>
      <c r="AW38" s="1" t="str">
        <f>IF(Дума_партии[[#This Row],[Наблюдателей]]=0,"",Дума_партии[[#This Row],[Наблюдателей]])</f>
        <v/>
      </c>
      <c r="AX38"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842</v>
      </c>
      <c r="AY38" s="10">
        <f>2*(Мособлдума_партии[[#This Row],[6. Всероссийская политическая партия "ЕДИНАЯ РОССИЯ"]]-(AB$203/100)*Мособлдума_партии[[#This Row],[Число действительных бюллетеней]])</f>
        <v>1229.32</v>
      </c>
      <c r="AZ38" s="10">
        <f>(Мособлдума_партии[[#This Row],[Вброс]]+Мособлдума_партии[[#This Row],[Перекладывание]])/2</f>
        <v>1035.6599999999999</v>
      </c>
    </row>
    <row r="39" spans="2:52" x14ac:dyDescent="0.4">
      <c r="B39" t="s">
        <v>74</v>
      </c>
      <c r="C39" t="s">
        <v>366</v>
      </c>
      <c r="D39" t="s">
        <v>138</v>
      </c>
      <c r="E39" t="s">
        <v>167</v>
      </c>
      <c r="F39" s="8">
        <f t="shared" ca="1" si="19"/>
        <v>3606</v>
      </c>
      <c r="G39" s="8" t="str">
        <f>Дума_партии[[#This Row],[Местоположение]]</f>
        <v>Назарьево</v>
      </c>
      <c r="H39" s="2" t="str">
        <f>LEFT(Мособлдума_партии[[#This Row],[tik]],4)&amp;"."&amp;IF(ISNUMBER(VALUE(RIGHT(Мособлдума_партии[[#This Row],[tik]]))),RIGHT(Мособлдума_партии[[#This Row],[tik]]),"")</f>
        <v>Один.</v>
      </c>
      <c r="I39">
        <v>1947</v>
      </c>
      <c r="J39" s="8">
        <f>Мособлдума_партии[[#This Row],[Число избирателей, внесенных в список на момент окончания голосования]]</f>
        <v>1947</v>
      </c>
      <c r="K39">
        <v>1500</v>
      </c>
      <c r="L39" s="1"/>
      <c r="M39">
        <v>527</v>
      </c>
      <c r="N39">
        <v>197</v>
      </c>
      <c r="O39" s="3">
        <f t="shared" si="20"/>
        <v>37.185413456599896</v>
      </c>
      <c r="P39" s="3">
        <f t="shared" si="21"/>
        <v>10.118130457113509</v>
      </c>
      <c r="Q39">
        <v>776</v>
      </c>
      <c r="R39">
        <v>197</v>
      </c>
      <c r="S39">
        <v>527</v>
      </c>
      <c r="T39" s="1">
        <f t="shared" si="22"/>
        <v>724</v>
      </c>
      <c r="U39" s="3">
        <f t="shared" si="23"/>
        <v>27.209944751381215</v>
      </c>
      <c r="V39">
        <v>17</v>
      </c>
      <c r="W39" s="3">
        <f t="shared" si="24"/>
        <v>2.3480662983425415</v>
      </c>
      <c r="X39">
        <v>707</v>
      </c>
      <c r="Y39">
        <v>0</v>
      </c>
      <c r="Z39">
        <v>0</v>
      </c>
      <c r="AA39">
        <v>11</v>
      </c>
      <c r="AB39" s="3">
        <f t="shared" si="25"/>
        <v>1.5193370165745856</v>
      </c>
      <c r="AC39">
        <v>49</v>
      </c>
      <c r="AD39" s="3">
        <f t="shared" si="26"/>
        <v>6.7679558011049723</v>
      </c>
      <c r="AE39">
        <v>23</v>
      </c>
      <c r="AF39" s="3">
        <f t="shared" si="27"/>
        <v>3.1767955801104972</v>
      </c>
      <c r="AG39">
        <v>25</v>
      </c>
      <c r="AH39" s="3">
        <f t="shared" si="28"/>
        <v>3.4530386740331491</v>
      </c>
      <c r="AI39">
        <v>128</v>
      </c>
      <c r="AJ39" s="3">
        <f t="shared" si="29"/>
        <v>17.679558011049725</v>
      </c>
      <c r="AK39">
        <v>384</v>
      </c>
      <c r="AL39" s="3">
        <f t="shared" si="30"/>
        <v>53.038674033149171</v>
      </c>
      <c r="AM39">
        <v>3</v>
      </c>
      <c r="AN39" s="3">
        <f t="shared" si="31"/>
        <v>0.4143646408839779</v>
      </c>
      <c r="AO39">
        <v>15</v>
      </c>
      <c r="AP39" s="3">
        <f t="shared" si="32"/>
        <v>2.0718232044198897</v>
      </c>
      <c r="AQ39">
        <v>14</v>
      </c>
      <c r="AR39" s="3">
        <f t="shared" si="33"/>
        <v>1.9337016574585635</v>
      </c>
      <c r="AS39">
        <v>55</v>
      </c>
      <c r="AT39" s="3">
        <f t="shared" si="34"/>
        <v>7.596685082872928</v>
      </c>
      <c r="AU39" t="s">
        <v>368</v>
      </c>
      <c r="AV39" s="72" t="str">
        <f>Дума_партии[[#This Row],[КОИБ]]</f>
        <v>N</v>
      </c>
      <c r="AW39" s="1" t="str">
        <f>IF(Дума_партии[[#This Row],[Наблюдателей]]=0,"",Дума_партии[[#This Row],[Наблюдателей]])</f>
        <v/>
      </c>
      <c r="AX39"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264.53424657534242</v>
      </c>
      <c r="AY39" s="10">
        <f>2*(Мособлдума_партии[[#This Row],[6. Всероссийская политическая партия "ЕДИНАЯ РОССИЯ"]]-(AB$203/100)*Мособлдума_партии[[#This Row],[Число действительных бюллетеней]])</f>
        <v>386.21999999999997</v>
      </c>
      <c r="AZ39" s="10">
        <f>(Мособлдума_партии[[#This Row],[Вброс]]+Мособлдума_партии[[#This Row],[Перекладывание]])/2</f>
        <v>325.37712328767122</v>
      </c>
    </row>
    <row r="40" spans="2:52" x14ac:dyDescent="0.4">
      <c r="B40" t="s">
        <v>74</v>
      </c>
      <c r="C40" t="s">
        <v>366</v>
      </c>
      <c r="D40" t="s">
        <v>138</v>
      </c>
      <c r="E40" t="s">
        <v>168</v>
      </c>
      <c r="F40" s="8">
        <f t="shared" ca="1" si="19"/>
        <v>3766</v>
      </c>
      <c r="G40" s="8" t="str">
        <f>Дума_партии[[#This Row],[Местоположение]]</f>
        <v>Звенигород</v>
      </c>
      <c r="H40" s="2" t="str">
        <f>LEFT(Мособлдума_партии[[#This Row],[tik]],4)&amp;"."&amp;IF(ISNUMBER(VALUE(RIGHT(Мособлдума_партии[[#This Row],[tik]]))),RIGHT(Мособлдума_партии[[#This Row],[tik]]),"")</f>
        <v>Один.</v>
      </c>
      <c r="I40">
        <v>857</v>
      </c>
      <c r="J40" s="8">
        <f>Мособлдума_партии[[#This Row],[Число избирателей, внесенных в список на момент окончания голосования]]</f>
        <v>857</v>
      </c>
      <c r="K40">
        <v>800</v>
      </c>
      <c r="L40" s="1"/>
      <c r="M40">
        <v>295</v>
      </c>
      <c r="N40">
        <v>40</v>
      </c>
      <c r="O40" s="3">
        <f t="shared" si="20"/>
        <v>39.089848308051344</v>
      </c>
      <c r="P40" s="3">
        <f t="shared" si="21"/>
        <v>4.6674445740956827</v>
      </c>
      <c r="Q40">
        <v>465</v>
      </c>
      <c r="R40">
        <v>40</v>
      </c>
      <c r="S40">
        <v>295</v>
      </c>
      <c r="T40" s="1">
        <f t="shared" si="22"/>
        <v>335</v>
      </c>
      <c r="U40" s="3">
        <f t="shared" si="23"/>
        <v>11.940298507462687</v>
      </c>
      <c r="V40">
        <v>28</v>
      </c>
      <c r="W40" s="3">
        <f t="shared" si="24"/>
        <v>8.3582089552238799</v>
      </c>
      <c r="X40">
        <v>307</v>
      </c>
      <c r="Y40">
        <v>0</v>
      </c>
      <c r="Z40">
        <v>0</v>
      </c>
      <c r="AA40">
        <v>3</v>
      </c>
      <c r="AB40" s="3">
        <f t="shared" si="25"/>
        <v>0.89552238805970152</v>
      </c>
      <c r="AC40">
        <v>22</v>
      </c>
      <c r="AD40" s="3">
        <f t="shared" si="26"/>
        <v>6.5671641791044779</v>
      </c>
      <c r="AE40">
        <v>13</v>
      </c>
      <c r="AF40" s="3">
        <f t="shared" si="27"/>
        <v>3.8805970149253732</v>
      </c>
      <c r="AG40">
        <v>14</v>
      </c>
      <c r="AH40" s="3">
        <f t="shared" si="28"/>
        <v>4.1791044776119399</v>
      </c>
      <c r="AI40">
        <v>82</v>
      </c>
      <c r="AJ40" s="3">
        <f t="shared" si="29"/>
        <v>24.477611940298509</v>
      </c>
      <c r="AK40">
        <v>120</v>
      </c>
      <c r="AL40" s="3">
        <f t="shared" si="30"/>
        <v>35.820895522388057</v>
      </c>
      <c r="AM40">
        <v>9</v>
      </c>
      <c r="AN40" s="3">
        <f t="shared" si="31"/>
        <v>2.6865671641791047</v>
      </c>
      <c r="AO40">
        <v>4</v>
      </c>
      <c r="AP40" s="3">
        <f t="shared" si="32"/>
        <v>1.1940298507462686</v>
      </c>
      <c r="AQ40">
        <v>10</v>
      </c>
      <c r="AR40" s="3">
        <f t="shared" si="33"/>
        <v>2.9850746268656718</v>
      </c>
      <c r="AS40">
        <v>30</v>
      </c>
      <c r="AT40" s="3">
        <f t="shared" si="34"/>
        <v>8.9552238805970141</v>
      </c>
      <c r="AU40" t="s">
        <v>368</v>
      </c>
      <c r="AV40" s="72">
        <f>Дума_партии[[#This Row],[КОИБ]]</f>
        <v>2017</v>
      </c>
      <c r="AW40" s="1" t="str">
        <f>IF(Дума_партии[[#This Row],[Наблюдателей]]=0,"",Дума_партии[[#This Row],[Наблюдателей]])</f>
        <v/>
      </c>
      <c r="AX40"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50.835616438356155</v>
      </c>
      <c r="AY40" s="10">
        <f>2*(Мособлдума_партии[[#This Row],[6. Всероссийская политическая партия "ЕДИНАЯ РОССИЯ"]]-(AB$203/100)*Мособлдума_партии[[#This Row],[Число действительных бюллетеней]])</f>
        <v>74.22</v>
      </c>
      <c r="AZ40" s="10">
        <f>(Мособлдума_партии[[#This Row],[Вброс]]+Мособлдума_партии[[#This Row],[Перекладывание]])/2</f>
        <v>62.527808219178077</v>
      </c>
    </row>
    <row r="41" spans="2:52" x14ac:dyDescent="0.4">
      <c r="B41" t="s">
        <v>74</v>
      </c>
      <c r="C41" t="s">
        <v>366</v>
      </c>
      <c r="D41" t="s">
        <v>138</v>
      </c>
      <c r="E41" t="s">
        <v>169</v>
      </c>
      <c r="F41" s="8">
        <f t="shared" ca="1" si="19"/>
        <v>3768</v>
      </c>
      <c r="G41" s="8" t="str">
        <f>Дума_партии[[#This Row],[Местоположение]]</f>
        <v>Звенигород</v>
      </c>
      <c r="H41" s="2" t="str">
        <f>LEFT(Мособлдума_партии[[#This Row],[tik]],4)&amp;"."&amp;IF(ISNUMBER(VALUE(RIGHT(Мособлдума_партии[[#This Row],[tik]]))),RIGHT(Мособлдума_партии[[#This Row],[tik]]),"")</f>
        <v>Один.</v>
      </c>
      <c r="I41">
        <v>1412</v>
      </c>
      <c r="J41" s="8">
        <f>Мособлдума_партии[[#This Row],[Число избирателей, внесенных в список на момент окончания голосования]]</f>
        <v>1412</v>
      </c>
      <c r="K41">
        <v>1200</v>
      </c>
      <c r="L41" s="1"/>
      <c r="M41">
        <v>411</v>
      </c>
      <c r="N41">
        <v>147</v>
      </c>
      <c r="O41" s="3">
        <f t="shared" si="20"/>
        <v>39.518413597733712</v>
      </c>
      <c r="P41" s="3">
        <f t="shared" si="21"/>
        <v>10.410764872521247</v>
      </c>
      <c r="Q41">
        <v>642</v>
      </c>
      <c r="R41">
        <v>147</v>
      </c>
      <c r="S41">
        <v>407</v>
      </c>
      <c r="T41" s="1">
        <f t="shared" si="22"/>
        <v>554</v>
      </c>
      <c r="U41" s="3">
        <f t="shared" si="23"/>
        <v>26.534296028880867</v>
      </c>
      <c r="V41">
        <v>17</v>
      </c>
      <c r="W41" s="3">
        <f t="shared" si="24"/>
        <v>3.0685920577617329</v>
      </c>
      <c r="X41">
        <v>537</v>
      </c>
      <c r="Y41">
        <v>0</v>
      </c>
      <c r="Z41">
        <v>0</v>
      </c>
      <c r="AA41">
        <v>9</v>
      </c>
      <c r="AB41" s="3">
        <f t="shared" si="25"/>
        <v>1.6245487364620939</v>
      </c>
      <c r="AC41">
        <v>52</v>
      </c>
      <c r="AD41" s="3">
        <f t="shared" si="26"/>
        <v>9.3862815884476536</v>
      </c>
      <c r="AE41">
        <v>20</v>
      </c>
      <c r="AF41" s="3">
        <f t="shared" si="27"/>
        <v>3.6101083032490973</v>
      </c>
      <c r="AG41">
        <v>29</v>
      </c>
      <c r="AH41" s="3">
        <f t="shared" si="28"/>
        <v>5.2346570397111911</v>
      </c>
      <c r="AI41">
        <v>108</v>
      </c>
      <c r="AJ41" s="3">
        <f t="shared" si="29"/>
        <v>19.494584837545126</v>
      </c>
      <c r="AK41">
        <v>237</v>
      </c>
      <c r="AL41" s="3">
        <f t="shared" si="30"/>
        <v>42.779783393501802</v>
      </c>
      <c r="AM41">
        <v>12</v>
      </c>
      <c r="AN41" s="3">
        <f t="shared" si="31"/>
        <v>2.1660649819494586</v>
      </c>
      <c r="AO41">
        <v>5</v>
      </c>
      <c r="AP41" s="3">
        <f t="shared" si="32"/>
        <v>0.90252707581227432</v>
      </c>
      <c r="AQ41">
        <v>22</v>
      </c>
      <c r="AR41" s="3">
        <f t="shared" si="33"/>
        <v>3.9711191335740073</v>
      </c>
      <c r="AS41">
        <v>43</v>
      </c>
      <c r="AT41" s="3">
        <f t="shared" si="34"/>
        <v>7.7617328519855597</v>
      </c>
      <c r="AU41" t="s">
        <v>368</v>
      </c>
      <c r="AV41" s="72">
        <f>Дума_партии[[#This Row],[КОИБ]]</f>
        <v>2017</v>
      </c>
      <c r="AW41" s="1" t="str">
        <f>IF(Дума_партии[[#This Row],[Наблюдателей]]=0,"",Дума_партии[[#This Row],[Наблюдателей]])</f>
        <v/>
      </c>
      <c r="AX41"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126.04109589041094</v>
      </c>
      <c r="AY41" s="10">
        <f>2*(Мособлдума_партии[[#This Row],[6. Всероссийская политическая партия "ЕДИНАЯ РОССИЯ"]]-(AB$203/100)*Мособлдума_партии[[#This Row],[Число действительных бюллетеней]])</f>
        <v>184.01999999999998</v>
      </c>
      <c r="AZ41" s="10">
        <f>(Мособлдума_партии[[#This Row],[Вброс]]+Мособлдума_партии[[#This Row],[Перекладывание]])/2</f>
        <v>155.03054794520546</v>
      </c>
    </row>
    <row r="42" spans="2:52" x14ac:dyDescent="0.4">
      <c r="B42" t="s">
        <v>74</v>
      </c>
      <c r="C42" t="s">
        <v>366</v>
      </c>
      <c r="D42" t="s">
        <v>138</v>
      </c>
      <c r="E42" t="s">
        <v>170</v>
      </c>
      <c r="F42" s="8">
        <f t="shared" ca="1" si="19"/>
        <v>3769</v>
      </c>
      <c r="G42" s="8" t="str">
        <f>Дума_партии[[#This Row],[Местоположение]]</f>
        <v>Звенигород</v>
      </c>
      <c r="H42" s="2" t="str">
        <f>LEFT(Мособлдума_партии[[#This Row],[tik]],4)&amp;"."&amp;IF(ISNUMBER(VALUE(RIGHT(Мособлдума_партии[[#This Row],[tik]]))),RIGHT(Мособлдума_партии[[#This Row],[tik]]),"")</f>
        <v>Один.</v>
      </c>
      <c r="I42">
        <v>2047</v>
      </c>
      <c r="J42" s="8">
        <f>Мособлдума_партии[[#This Row],[Число избирателей, внесенных в список на момент окончания голосования]]</f>
        <v>2047</v>
      </c>
      <c r="K42">
        <v>1500</v>
      </c>
      <c r="L42" s="1"/>
      <c r="M42">
        <v>513</v>
      </c>
      <c r="N42">
        <v>200</v>
      </c>
      <c r="O42" s="3">
        <f t="shared" si="20"/>
        <v>34.831460674157306</v>
      </c>
      <c r="P42" s="3">
        <f t="shared" si="21"/>
        <v>9.7703957010258922</v>
      </c>
      <c r="Q42">
        <v>787</v>
      </c>
      <c r="R42">
        <v>186</v>
      </c>
      <c r="S42">
        <v>507</v>
      </c>
      <c r="T42" s="1">
        <f t="shared" si="22"/>
        <v>693</v>
      </c>
      <c r="U42" s="3">
        <f t="shared" si="23"/>
        <v>26.839826839826841</v>
      </c>
      <c r="V42">
        <v>96</v>
      </c>
      <c r="W42" s="3">
        <f t="shared" si="24"/>
        <v>13.852813852813853</v>
      </c>
      <c r="X42">
        <v>597</v>
      </c>
      <c r="Y42">
        <v>0</v>
      </c>
      <c r="Z42">
        <v>0</v>
      </c>
      <c r="AA42">
        <v>11</v>
      </c>
      <c r="AB42" s="3">
        <f t="shared" si="25"/>
        <v>1.5873015873015872</v>
      </c>
      <c r="AC42">
        <v>55</v>
      </c>
      <c r="AD42" s="3">
        <f t="shared" si="26"/>
        <v>7.9365079365079367</v>
      </c>
      <c r="AE42">
        <v>51</v>
      </c>
      <c r="AF42" s="3">
        <f t="shared" si="27"/>
        <v>7.3593073593073592</v>
      </c>
      <c r="AG42">
        <v>24</v>
      </c>
      <c r="AH42" s="3">
        <f t="shared" si="28"/>
        <v>3.4632034632034632</v>
      </c>
      <c r="AI42">
        <v>121</v>
      </c>
      <c r="AJ42" s="3">
        <f t="shared" si="29"/>
        <v>17.460317460317459</v>
      </c>
      <c r="AK42">
        <v>212</v>
      </c>
      <c r="AL42" s="3">
        <f t="shared" si="30"/>
        <v>30.59163059163059</v>
      </c>
      <c r="AM42">
        <v>22</v>
      </c>
      <c r="AN42" s="3">
        <f t="shared" si="31"/>
        <v>3.1746031746031744</v>
      </c>
      <c r="AO42">
        <v>17</v>
      </c>
      <c r="AP42" s="3">
        <f t="shared" si="32"/>
        <v>2.4531024531024532</v>
      </c>
      <c r="AQ42">
        <v>20</v>
      </c>
      <c r="AR42" s="3">
        <f t="shared" si="33"/>
        <v>2.8860028860028861</v>
      </c>
      <c r="AS42">
        <v>64</v>
      </c>
      <c r="AT42" s="3">
        <f t="shared" si="34"/>
        <v>9.2352092352092345</v>
      </c>
      <c r="AU42" t="s">
        <v>368</v>
      </c>
      <c r="AV42" s="72">
        <f>Дума_партии[[#This Row],[КОИБ]]</f>
        <v>2017</v>
      </c>
      <c r="AW42" s="1">
        <f>IF(Дума_партии[[#This Row],[Наблюдателей]]=0,"",Дума_партии[[#This Row],[Наблюдателей]])</f>
        <v>1</v>
      </c>
      <c r="AX42"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69.60273972602738</v>
      </c>
      <c r="AY42" s="10">
        <f>2*(Мособлдума_партии[[#This Row],[6. Всероссийская политическая партия "ЕДИНАЯ РОССИЯ"]]-(AB$203/100)*Мособлдума_партии[[#This Row],[Число действительных бюллетеней]])</f>
        <v>101.62</v>
      </c>
      <c r="AZ42" s="10">
        <f>(Мособлдума_партии[[#This Row],[Вброс]]+Мособлдума_партии[[#This Row],[Перекладывание]])/2</f>
        <v>85.611369863013692</v>
      </c>
    </row>
    <row r="43" spans="2:52" x14ac:dyDescent="0.4">
      <c r="B43" t="s">
        <v>74</v>
      </c>
      <c r="C43" t="s">
        <v>366</v>
      </c>
      <c r="D43" t="s">
        <v>138</v>
      </c>
      <c r="E43" t="s">
        <v>171</v>
      </c>
      <c r="F43" s="8">
        <f t="shared" ca="1" si="19"/>
        <v>3771</v>
      </c>
      <c r="G43" s="8" t="str">
        <f>Дума_партии[[#This Row],[Местоположение]]</f>
        <v>Звенигород</v>
      </c>
      <c r="H43" s="2" t="str">
        <f>LEFT(Мособлдума_партии[[#This Row],[tik]],4)&amp;"."&amp;IF(ISNUMBER(VALUE(RIGHT(Мособлдума_партии[[#This Row],[tik]]))),RIGHT(Мособлдума_партии[[#This Row],[tik]]),"")</f>
        <v>Один.</v>
      </c>
      <c r="I43">
        <v>536</v>
      </c>
      <c r="J43" s="8">
        <f>Мособлдума_партии[[#This Row],[Число избирателей, внесенных в список на момент окончания голосования]]</f>
        <v>536</v>
      </c>
      <c r="K43">
        <v>500</v>
      </c>
      <c r="L43" s="1"/>
      <c r="M43">
        <v>156</v>
      </c>
      <c r="N43">
        <v>7</v>
      </c>
      <c r="O43" s="3">
        <f t="shared" si="20"/>
        <v>30.410447761194028</v>
      </c>
      <c r="P43" s="3">
        <f t="shared" si="21"/>
        <v>1.3059701492537314</v>
      </c>
      <c r="Q43">
        <v>337</v>
      </c>
      <c r="R43">
        <v>7</v>
      </c>
      <c r="S43">
        <v>156</v>
      </c>
      <c r="T43" s="1">
        <f t="shared" si="22"/>
        <v>163</v>
      </c>
      <c r="U43" s="3">
        <f t="shared" si="23"/>
        <v>4.294478527607362</v>
      </c>
      <c r="V43">
        <v>9</v>
      </c>
      <c r="W43" s="3">
        <f t="shared" si="24"/>
        <v>5.5214723926380369</v>
      </c>
      <c r="X43">
        <v>154</v>
      </c>
      <c r="Y43">
        <v>0</v>
      </c>
      <c r="Z43">
        <v>0</v>
      </c>
      <c r="AA43">
        <v>6</v>
      </c>
      <c r="AB43" s="3">
        <f t="shared" si="25"/>
        <v>3.6809815950920246</v>
      </c>
      <c r="AC43">
        <v>15</v>
      </c>
      <c r="AD43" s="3">
        <f t="shared" si="26"/>
        <v>9.2024539877300615</v>
      </c>
      <c r="AE43">
        <v>21</v>
      </c>
      <c r="AF43" s="3">
        <f t="shared" si="27"/>
        <v>12.883435582822086</v>
      </c>
      <c r="AG43">
        <v>7</v>
      </c>
      <c r="AH43" s="3">
        <f t="shared" si="28"/>
        <v>4.294478527607362</v>
      </c>
      <c r="AI43">
        <v>38</v>
      </c>
      <c r="AJ43" s="3">
        <f t="shared" si="29"/>
        <v>23.312883435582823</v>
      </c>
      <c r="AK43">
        <v>49</v>
      </c>
      <c r="AL43" s="3">
        <f t="shared" si="30"/>
        <v>30.061349693251532</v>
      </c>
      <c r="AM43">
        <v>5</v>
      </c>
      <c r="AN43" s="3">
        <f t="shared" si="31"/>
        <v>3.0674846625766872</v>
      </c>
      <c r="AO43">
        <v>3</v>
      </c>
      <c r="AP43" s="3">
        <f t="shared" si="32"/>
        <v>1.8404907975460123</v>
      </c>
      <c r="AQ43">
        <v>1</v>
      </c>
      <c r="AR43" s="3">
        <f t="shared" si="33"/>
        <v>0.61349693251533743</v>
      </c>
      <c r="AS43">
        <v>9</v>
      </c>
      <c r="AT43" s="3">
        <f t="shared" si="34"/>
        <v>5.5214723926380369</v>
      </c>
      <c r="AU43" t="s">
        <v>368</v>
      </c>
      <c r="AV43" s="72" t="str">
        <f>Дума_партии[[#This Row],[КОИБ]]</f>
        <v>N</v>
      </c>
      <c r="AW43" s="1" t="str">
        <f>IF(Дума_партии[[#This Row],[Наблюдателей]]=0,"",Дума_партии[[#This Row],[Наблюдателей]])</f>
        <v/>
      </c>
      <c r="AX43"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10.164383561643831</v>
      </c>
      <c r="AY43" s="10">
        <f>2*(Мособлдума_партии[[#This Row],[6. Всероссийская политическая партия "ЕДИНАЯ РОССИЯ"]]-(AB$203/100)*Мособлдума_партии[[#This Row],[Число действительных бюллетеней]])</f>
        <v>14.839999999999989</v>
      </c>
      <c r="AZ43" s="10">
        <f>(Мособлдума_партии[[#This Row],[Вброс]]+Мособлдума_партии[[#This Row],[Перекладывание]])/2</f>
        <v>12.50219178082191</v>
      </c>
    </row>
    <row r="44" spans="2:52" x14ac:dyDescent="0.4">
      <c r="B44" t="s">
        <v>74</v>
      </c>
      <c r="C44" t="s">
        <v>102</v>
      </c>
      <c r="D44" t="s">
        <v>138</v>
      </c>
      <c r="E44" t="s">
        <v>172</v>
      </c>
      <c r="F44" s="8">
        <f t="shared" ca="1" si="19"/>
        <v>3908</v>
      </c>
      <c r="G44" s="8" t="str">
        <f>Дума_партии[[#This Row],[Местоположение]]</f>
        <v>Кубинка</v>
      </c>
      <c r="H44" s="2" t="str">
        <f>LEFT(Мособлдума_партии[[#This Row],[tik]],4)&amp;"."&amp;IF(ISNUMBER(VALUE(RIGHT(Мособлдума_партии[[#This Row],[tik]]))),RIGHT(Мособлдума_партии[[#This Row],[tik]]),"")</f>
        <v>Один.</v>
      </c>
      <c r="I44">
        <v>2687</v>
      </c>
      <c r="J44" s="8">
        <f>Мособлдума_партии[[#This Row],[Число избирателей, внесенных в список на момент окончания голосования]]</f>
        <v>2687</v>
      </c>
      <c r="K44">
        <v>2000</v>
      </c>
      <c r="L44" s="1"/>
      <c r="M44">
        <v>877</v>
      </c>
      <c r="N44">
        <v>20</v>
      </c>
      <c r="O44" s="3">
        <f t="shared" si="20"/>
        <v>33.382954968366207</v>
      </c>
      <c r="P44" s="3">
        <f t="shared" si="21"/>
        <v>0.74432452549311501</v>
      </c>
      <c r="Q44">
        <v>1103</v>
      </c>
      <c r="R44">
        <v>20</v>
      </c>
      <c r="S44">
        <v>877</v>
      </c>
      <c r="T44" s="1">
        <f t="shared" si="22"/>
        <v>897</v>
      </c>
      <c r="U44" s="3">
        <f t="shared" si="23"/>
        <v>2.229654403567447</v>
      </c>
      <c r="V44">
        <v>41</v>
      </c>
      <c r="W44" s="3">
        <f t="shared" si="24"/>
        <v>4.5707915273132667</v>
      </c>
      <c r="X44">
        <v>856</v>
      </c>
      <c r="Y44">
        <v>0</v>
      </c>
      <c r="Z44">
        <v>0</v>
      </c>
      <c r="AA44">
        <v>22</v>
      </c>
      <c r="AB44" s="3">
        <f t="shared" si="25"/>
        <v>2.4526198439241917</v>
      </c>
      <c r="AC44">
        <v>66</v>
      </c>
      <c r="AD44" s="3">
        <f t="shared" si="26"/>
        <v>7.3578595317725757</v>
      </c>
      <c r="AE44">
        <v>75</v>
      </c>
      <c r="AF44" s="3">
        <f t="shared" si="27"/>
        <v>8.3612040133779271</v>
      </c>
      <c r="AG44">
        <v>75</v>
      </c>
      <c r="AH44" s="3">
        <f t="shared" si="28"/>
        <v>8.3612040133779271</v>
      </c>
      <c r="AI44">
        <v>261</v>
      </c>
      <c r="AJ44" s="3">
        <f t="shared" si="29"/>
        <v>29.096989966555185</v>
      </c>
      <c r="AK44">
        <v>200</v>
      </c>
      <c r="AL44" s="3">
        <f t="shared" si="30"/>
        <v>22.296544035674472</v>
      </c>
      <c r="AM44">
        <v>20</v>
      </c>
      <c r="AN44" s="3">
        <f t="shared" si="31"/>
        <v>2.229654403567447</v>
      </c>
      <c r="AO44">
        <v>32</v>
      </c>
      <c r="AP44" s="3">
        <f t="shared" si="32"/>
        <v>3.5674470457079153</v>
      </c>
      <c r="AQ44">
        <v>35</v>
      </c>
      <c r="AR44" s="3">
        <f t="shared" si="33"/>
        <v>3.9018952062430325</v>
      </c>
      <c r="AS44">
        <v>70</v>
      </c>
      <c r="AT44" s="3">
        <f t="shared" si="34"/>
        <v>7.8037904124860651</v>
      </c>
      <c r="AU44" t="s">
        <v>369</v>
      </c>
      <c r="AV44" s="72">
        <f>Дума_партии[[#This Row],[КОИБ]]</f>
        <v>2017</v>
      </c>
      <c r="AW44" s="1">
        <f>IF(Дума_партии[[#This Row],[Наблюдателей]]=0,"",Дума_партии[[#This Row],[Наблюдателей]])</f>
        <v>1</v>
      </c>
      <c r="AX44"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-42.63013698630138</v>
      </c>
      <c r="AY44" s="10">
        <f>2*(Мособлдума_партии[[#This Row],[6. Всероссийская политическая партия "ЕДИНАЯ РОССИЯ"]]-(AB$203/100)*Мособлдума_партии[[#This Row],[Число действительных бюллетеней]])</f>
        <v>-62.240000000000009</v>
      </c>
      <c r="AZ44" s="10">
        <f>(Мособлдума_партии[[#This Row],[Вброс]]+Мособлдума_партии[[#This Row],[Перекладывание]])/2</f>
        <v>-52.435068493150695</v>
      </c>
    </row>
    <row r="45" spans="2:52" x14ac:dyDescent="0.4">
      <c r="B45" t="s">
        <v>74</v>
      </c>
      <c r="C45" t="s">
        <v>102</v>
      </c>
      <c r="D45" t="s">
        <v>138</v>
      </c>
      <c r="E45" t="s">
        <v>173</v>
      </c>
      <c r="F45" s="8">
        <f t="shared" ca="1" si="19"/>
        <v>3909</v>
      </c>
      <c r="G45" s="8" t="str">
        <f>Дума_партии[[#This Row],[Местоположение]]</f>
        <v>Кубинка</v>
      </c>
      <c r="H45" s="2" t="str">
        <f>LEFT(Мособлдума_партии[[#This Row],[tik]],4)&amp;"."&amp;IF(ISNUMBER(VALUE(RIGHT(Мособлдума_партии[[#This Row],[tik]]))),RIGHT(Мособлдума_партии[[#This Row],[tik]]),"")</f>
        <v>Один.</v>
      </c>
      <c r="I45">
        <v>2348</v>
      </c>
      <c r="J45" s="8">
        <f>Мособлдума_партии[[#This Row],[Число избирателей, внесенных в список на момент окончания голосования]]</f>
        <v>2348</v>
      </c>
      <c r="K45">
        <v>2000</v>
      </c>
      <c r="L45" s="1"/>
      <c r="M45">
        <v>766</v>
      </c>
      <c r="N45">
        <v>13</v>
      </c>
      <c r="O45" s="3">
        <f t="shared" si="20"/>
        <v>33.17717206132879</v>
      </c>
      <c r="P45" s="3">
        <f t="shared" si="21"/>
        <v>0.55366269165247017</v>
      </c>
      <c r="Q45">
        <v>1221</v>
      </c>
      <c r="R45">
        <v>13</v>
      </c>
      <c r="S45">
        <v>766</v>
      </c>
      <c r="T45" s="1">
        <f t="shared" si="22"/>
        <v>779</v>
      </c>
      <c r="U45" s="3">
        <f t="shared" si="23"/>
        <v>1.6688061617458281</v>
      </c>
      <c r="V45">
        <v>45</v>
      </c>
      <c r="W45" s="3">
        <f t="shared" si="24"/>
        <v>5.7766367137355585</v>
      </c>
      <c r="X45">
        <v>734</v>
      </c>
      <c r="Y45">
        <v>0</v>
      </c>
      <c r="Z45">
        <v>0</v>
      </c>
      <c r="AA45">
        <v>17</v>
      </c>
      <c r="AB45" s="3">
        <f t="shared" si="25"/>
        <v>2.1822849807445444</v>
      </c>
      <c r="AC45">
        <v>58</v>
      </c>
      <c r="AD45" s="3">
        <f t="shared" si="26"/>
        <v>7.4454428754813868</v>
      </c>
      <c r="AE45">
        <v>66</v>
      </c>
      <c r="AF45" s="3">
        <f t="shared" si="27"/>
        <v>8.472400513478819</v>
      </c>
      <c r="AG45">
        <v>61</v>
      </c>
      <c r="AH45" s="3">
        <f t="shared" si="28"/>
        <v>7.8305519897304237</v>
      </c>
      <c r="AI45">
        <v>235</v>
      </c>
      <c r="AJ45" s="3">
        <f t="shared" si="29"/>
        <v>30.166880616174584</v>
      </c>
      <c r="AK45">
        <v>156</v>
      </c>
      <c r="AL45" s="3">
        <f t="shared" si="30"/>
        <v>20.025673940949936</v>
      </c>
      <c r="AM45">
        <v>21</v>
      </c>
      <c r="AN45" s="3">
        <f t="shared" si="31"/>
        <v>2.6957637997432604</v>
      </c>
      <c r="AO45">
        <v>15</v>
      </c>
      <c r="AP45" s="3">
        <f t="shared" si="32"/>
        <v>1.9255455712451861</v>
      </c>
      <c r="AQ45">
        <v>29</v>
      </c>
      <c r="AR45" s="3">
        <f t="shared" si="33"/>
        <v>3.7227214377406934</v>
      </c>
      <c r="AS45">
        <v>76</v>
      </c>
      <c r="AT45" s="3">
        <f t="shared" si="34"/>
        <v>9.7560975609756095</v>
      </c>
      <c r="AU45" t="s">
        <v>369</v>
      </c>
      <c r="AV45" s="72">
        <f>Дума_партии[[#This Row],[КОИБ]]</f>
        <v>2017</v>
      </c>
      <c r="AW45" s="1">
        <f>IF(Дума_партии[[#This Row],[Наблюдателей]]=0,"",Дума_партии[[#This Row],[Наблюдателей]])</f>
        <v>2</v>
      </c>
      <c r="AX45"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-57.780821917808225</v>
      </c>
      <c r="AY45" s="10">
        <f>2*(Мособлдума_партии[[#This Row],[6. Всероссийская политическая партия "ЕДИНАЯ РОССИЯ"]]-(AB$203/100)*Мособлдума_партии[[#This Row],[Число действительных бюллетеней]])</f>
        <v>-84.360000000000014</v>
      </c>
      <c r="AZ45" s="10">
        <f>(Мособлдума_партии[[#This Row],[Вброс]]+Мособлдума_партии[[#This Row],[Перекладывание]])/2</f>
        <v>-71.07041095890412</v>
      </c>
    </row>
    <row r="46" spans="2:52" x14ac:dyDescent="0.4">
      <c r="B46" t="s">
        <v>74</v>
      </c>
      <c r="C46" t="s">
        <v>102</v>
      </c>
      <c r="D46" t="s">
        <v>138</v>
      </c>
      <c r="E46" t="s">
        <v>174</v>
      </c>
      <c r="F46" s="8">
        <f t="shared" ca="1" si="19"/>
        <v>3912</v>
      </c>
      <c r="G46" s="8" t="str">
        <f>Дума_партии[[#This Row],[Местоположение]]</f>
        <v>Кубинка</v>
      </c>
      <c r="H46" s="2" t="str">
        <f>LEFT(Мособлдума_партии[[#This Row],[tik]],4)&amp;"."&amp;IF(ISNUMBER(VALUE(RIGHT(Мособлдума_партии[[#This Row],[tik]]))),RIGHT(Мособлдума_партии[[#This Row],[tik]]),"")</f>
        <v>Один.</v>
      </c>
      <c r="I46">
        <v>2383</v>
      </c>
      <c r="J46" s="8">
        <f>Мособлдума_партии[[#This Row],[Число избирателей, внесенных в список на момент окончания голосования]]</f>
        <v>2383</v>
      </c>
      <c r="K46">
        <v>2000</v>
      </c>
      <c r="L46" s="1"/>
      <c r="M46">
        <v>1588</v>
      </c>
      <c r="N46">
        <v>0</v>
      </c>
      <c r="O46" s="3">
        <f t="shared" si="20"/>
        <v>66.638690725975664</v>
      </c>
      <c r="P46" s="3">
        <f t="shared" si="21"/>
        <v>0</v>
      </c>
      <c r="Q46">
        <v>412</v>
      </c>
      <c r="R46">
        <v>0</v>
      </c>
      <c r="S46">
        <v>1586</v>
      </c>
      <c r="T46" s="1">
        <f t="shared" si="22"/>
        <v>1586</v>
      </c>
      <c r="U46" s="3">
        <f t="shared" si="23"/>
        <v>0</v>
      </c>
      <c r="V46">
        <v>55</v>
      </c>
      <c r="W46" s="3">
        <f t="shared" si="24"/>
        <v>3.4678436317780581</v>
      </c>
      <c r="X46">
        <v>1531</v>
      </c>
      <c r="Y46">
        <v>0</v>
      </c>
      <c r="Z46">
        <v>0</v>
      </c>
      <c r="AA46">
        <v>16</v>
      </c>
      <c r="AB46" s="3">
        <f t="shared" si="25"/>
        <v>1.0088272383354351</v>
      </c>
      <c r="AC46">
        <v>39</v>
      </c>
      <c r="AD46" s="3">
        <f t="shared" si="26"/>
        <v>2.459016393442623</v>
      </c>
      <c r="AE46">
        <v>46</v>
      </c>
      <c r="AF46" s="3">
        <f t="shared" si="27"/>
        <v>2.9003783102143759</v>
      </c>
      <c r="AG46">
        <v>25</v>
      </c>
      <c r="AH46" s="3">
        <f t="shared" si="28"/>
        <v>1.5762925598991173</v>
      </c>
      <c r="AI46">
        <v>139</v>
      </c>
      <c r="AJ46" s="3">
        <f t="shared" si="29"/>
        <v>8.7641866330390918</v>
      </c>
      <c r="AK46">
        <v>1174</v>
      </c>
      <c r="AL46" s="3">
        <f t="shared" si="30"/>
        <v>74.022698612862541</v>
      </c>
      <c r="AM46">
        <v>12</v>
      </c>
      <c r="AN46" s="3">
        <f t="shared" si="31"/>
        <v>0.75662042875157631</v>
      </c>
      <c r="AO46">
        <v>19</v>
      </c>
      <c r="AP46" s="3">
        <f t="shared" si="32"/>
        <v>1.1979823455233292</v>
      </c>
      <c r="AQ46">
        <v>18</v>
      </c>
      <c r="AR46" s="3">
        <f t="shared" si="33"/>
        <v>1.1349306431273645</v>
      </c>
      <c r="AS46">
        <v>43</v>
      </c>
      <c r="AT46" s="3">
        <f t="shared" si="34"/>
        <v>2.7112232030264818</v>
      </c>
      <c r="AU46" t="s">
        <v>369</v>
      </c>
      <c r="AV46" s="72">
        <f>Дума_партии[[#This Row],[КОИБ]]</f>
        <v>2017</v>
      </c>
      <c r="AW46" s="1" t="str">
        <f>IF(Дума_партии[[#This Row],[Наблюдателей]]=0,"",Дума_партии[[#This Row],[Наблюдателей]])</f>
        <v/>
      </c>
      <c r="AX46"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1041.958904109589</v>
      </c>
      <c r="AY46" s="10">
        <f>2*(Мособлдума_партии[[#This Row],[6. Всероссийская политическая партия "ЕДИНАЯ РОССИЯ"]]-(AB$203/100)*Мособлдума_партии[[#This Row],[Число действительных бюллетеней]])</f>
        <v>1521.26</v>
      </c>
      <c r="AZ46" s="10">
        <f>(Мособлдума_партии[[#This Row],[Вброс]]+Мособлдума_партии[[#This Row],[Перекладывание]])/2</f>
        <v>1281.6094520547945</v>
      </c>
    </row>
    <row r="47" spans="2:52" x14ac:dyDescent="0.4">
      <c r="B47" t="s">
        <v>74</v>
      </c>
      <c r="C47" t="s">
        <v>102</v>
      </c>
      <c r="D47" t="s">
        <v>138</v>
      </c>
      <c r="E47" t="s">
        <v>175</v>
      </c>
      <c r="F47" s="8">
        <f t="shared" ca="1" si="19"/>
        <v>3913</v>
      </c>
      <c r="G47" s="8" t="str">
        <f>Дума_партии[[#This Row],[Местоположение]]</f>
        <v>Кубинка</v>
      </c>
      <c r="H47" s="2" t="str">
        <f>LEFT(Мособлдума_партии[[#This Row],[tik]],4)&amp;"."&amp;IF(ISNUMBER(VALUE(RIGHT(Мособлдума_партии[[#This Row],[tik]]))),RIGHT(Мособлдума_партии[[#This Row],[tik]]),"")</f>
        <v>Один.</v>
      </c>
      <c r="I47">
        <v>1001</v>
      </c>
      <c r="J47" s="8">
        <f>Мособлдума_партии[[#This Row],[Число избирателей, внесенных в список на момент окончания голосования]]</f>
        <v>1001</v>
      </c>
      <c r="K47">
        <v>850</v>
      </c>
      <c r="L47" s="1"/>
      <c r="M47">
        <v>764</v>
      </c>
      <c r="N47">
        <v>0</v>
      </c>
      <c r="O47" s="3">
        <f t="shared" si="20"/>
        <v>76.323676323676324</v>
      </c>
      <c r="P47" s="3">
        <f t="shared" si="21"/>
        <v>0</v>
      </c>
      <c r="Q47">
        <v>86</v>
      </c>
      <c r="R47">
        <v>0</v>
      </c>
      <c r="S47">
        <v>764</v>
      </c>
      <c r="T47" s="1">
        <f t="shared" si="22"/>
        <v>764</v>
      </c>
      <c r="U47" s="3">
        <f t="shared" si="23"/>
        <v>0</v>
      </c>
      <c r="V47">
        <v>9</v>
      </c>
      <c r="W47" s="3">
        <f t="shared" si="24"/>
        <v>1.1780104712041886</v>
      </c>
      <c r="X47">
        <v>755</v>
      </c>
      <c r="Y47">
        <v>0</v>
      </c>
      <c r="Z47">
        <v>0</v>
      </c>
      <c r="AA47">
        <v>4</v>
      </c>
      <c r="AB47" s="3">
        <f t="shared" si="25"/>
        <v>0.52356020942408377</v>
      </c>
      <c r="AC47">
        <v>27</v>
      </c>
      <c r="AD47" s="3">
        <f t="shared" si="26"/>
        <v>3.5340314136125652</v>
      </c>
      <c r="AE47">
        <v>25</v>
      </c>
      <c r="AF47" s="3">
        <f t="shared" si="27"/>
        <v>3.2722513089005236</v>
      </c>
      <c r="AG47">
        <v>12</v>
      </c>
      <c r="AH47" s="3">
        <f t="shared" si="28"/>
        <v>1.5706806282722514</v>
      </c>
      <c r="AI47">
        <v>34</v>
      </c>
      <c r="AJ47" s="3">
        <f t="shared" si="29"/>
        <v>4.4502617801047117</v>
      </c>
      <c r="AK47">
        <v>620</v>
      </c>
      <c r="AL47" s="3">
        <f t="shared" si="30"/>
        <v>81.15183246073299</v>
      </c>
      <c r="AM47">
        <v>6</v>
      </c>
      <c r="AN47" s="3">
        <f t="shared" si="31"/>
        <v>0.78534031413612571</v>
      </c>
      <c r="AO47">
        <v>5</v>
      </c>
      <c r="AP47" s="3">
        <f t="shared" si="32"/>
        <v>0.65445026178010468</v>
      </c>
      <c r="AQ47">
        <v>10</v>
      </c>
      <c r="AR47" s="3">
        <f t="shared" si="33"/>
        <v>1.3089005235602094</v>
      </c>
      <c r="AS47">
        <v>12</v>
      </c>
      <c r="AT47" s="3">
        <f t="shared" si="34"/>
        <v>1.5706806282722514</v>
      </c>
      <c r="AU47" t="s">
        <v>369</v>
      </c>
      <c r="AV47" s="72" t="str">
        <f>Дума_партии[[#This Row],[КОИБ]]</f>
        <v>N</v>
      </c>
      <c r="AW47" s="1" t="str">
        <f>IF(Дума_партии[[#This Row],[Наблюдателей]]=0,"",Дума_партии[[#This Row],[Наблюдателей]])</f>
        <v/>
      </c>
      <c r="AX47"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570.06849315068496</v>
      </c>
      <c r="AY47" s="10">
        <f>2*(Мособлдума_партии[[#This Row],[6. Всероссийская политическая партия "ЕДИНАЯ РОССИЯ"]]-(AB$203/100)*Мособлдума_партии[[#This Row],[Число действительных бюллетеней]])</f>
        <v>832.3</v>
      </c>
      <c r="AZ47" s="10">
        <f>(Мособлдума_партии[[#This Row],[Вброс]]+Мособлдума_партии[[#This Row],[Перекладывание]])/2</f>
        <v>701.18424657534251</v>
      </c>
    </row>
    <row r="48" spans="2:52" x14ac:dyDescent="0.4">
      <c r="B48" t="s">
        <v>74</v>
      </c>
      <c r="C48" t="s">
        <v>102</v>
      </c>
      <c r="D48" t="s">
        <v>138</v>
      </c>
      <c r="E48" t="s">
        <v>176</v>
      </c>
      <c r="F48" s="8">
        <f t="shared" ca="1" si="19"/>
        <v>3914</v>
      </c>
      <c r="G48" s="8" t="str">
        <f>Дума_партии[[#This Row],[Местоположение]]</f>
        <v>Кубинка</v>
      </c>
      <c r="H48" s="2" t="str">
        <f>LEFT(Мособлдума_партии[[#This Row],[tik]],4)&amp;"."&amp;IF(ISNUMBER(VALUE(RIGHT(Мособлдума_партии[[#This Row],[tik]]))),RIGHT(Мособлдума_партии[[#This Row],[tik]]),"")</f>
        <v>Один.</v>
      </c>
      <c r="I48">
        <v>439</v>
      </c>
      <c r="J48" s="8">
        <f>Мособлдума_партии[[#This Row],[Число избирателей, внесенных в список на момент окончания голосования]]</f>
        <v>439</v>
      </c>
      <c r="K48">
        <v>400</v>
      </c>
      <c r="L48" s="1"/>
      <c r="M48">
        <v>259</v>
      </c>
      <c r="N48">
        <v>20</v>
      </c>
      <c r="O48" s="3">
        <f t="shared" si="20"/>
        <v>63.553530751708429</v>
      </c>
      <c r="P48" s="3">
        <f t="shared" si="21"/>
        <v>4.5558086560364464</v>
      </c>
      <c r="Q48">
        <v>121</v>
      </c>
      <c r="R48">
        <v>20</v>
      </c>
      <c r="S48">
        <v>259</v>
      </c>
      <c r="T48" s="1">
        <f t="shared" si="22"/>
        <v>279</v>
      </c>
      <c r="U48" s="3">
        <f t="shared" si="23"/>
        <v>7.1684587813620073</v>
      </c>
      <c r="V48">
        <v>0</v>
      </c>
      <c r="W48" s="3">
        <f t="shared" si="24"/>
        <v>0</v>
      </c>
      <c r="X48">
        <v>279</v>
      </c>
      <c r="Y48">
        <v>0</v>
      </c>
      <c r="Z48">
        <v>0</v>
      </c>
      <c r="AA48">
        <v>3</v>
      </c>
      <c r="AB48" s="3">
        <f t="shared" si="25"/>
        <v>1.075268817204301</v>
      </c>
      <c r="AC48">
        <v>37</v>
      </c>
      <c r="AD48" s="3">
        <f t="shared" si="26"/>
        <v>13.261648745519713</v>
      </c>
      <c r="AE48">
        <v>16</v>
      </c>
      <c r="AF48" s="3">
        <f t="shared" si="27"/>
        <v>5.7347670250896057</v>
      </c>
      <c r="AG48">
        <v>30</v>
      </c>
      <c r="AH48" s="3">
        <f t="shared" si="28"/>
        <v>10.75268817204301</v>
      </c>
      <c r="AI48">
        <v>46</v>
      </c>
      <c r="AJ48" s="3">
        <f t="shared" si="29"/>
        <v>16.487455197132615</v>
      </c>
      <c r="AK48">
        <v>98</v>
      </c>
      <c r="AL48" s="3">
        <f t="shared" si="30"/>
        <v>35.125448028673837</v>
      </c>
      <c r="AM48">
        <v>2</v>
      </c>
      <c r="AN48" s="3">
        <f t="shared" si="31"/>
        <v>0.71684587813620071</v>
      </c>
      <c r="AO48">
        <v>5</v>
      </c>
      <c r="AP48" s="3">
        <f t="shared" si="32"/>
        <v>1.7921146953405018</v>
      </c>
      <c r="AQ48">
        <v>35</v>
      </c>
      <c r="AR48" s="3">
        <f t="shared" si="33"/>
        <v>12.544802867383513</v>
      </c>
      <c r="AS48">
        <v>7</v>
      </c>
      <c r="AT48" s="3">
        <f t="shared" si="34"/>
        <v>2.5089605734767026</v>
      </c>
      <c r="AU48" t="s">
        <v>369</v>
      </c>
      <c r="AV48" s="72" t="str">
        <f>Дума_партии[[#This Row],[КОИБ]]</f>
        <v>N</v>
      </c>
      <c r="AW48" s="1" t="str">
        <f>IF(Дума_партии[[#This Row],[Наблюдателей]]=0,"",Дума_партии[[#This Row],[Наблюдателей]])</f>
        <v/>
      </c>
      <c r="AX48"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31.054794520547944</v>
      </c>
      <c r="AY48" s="10">
        <f>2*(Мособлдума_партии[[#This Row],[6. Всероссийская политическая партия "ЕДИНАЯ РОССИЯ"]]-(AB$203/100)*Мособлдума_партии[[#This Row],[Число действительных бюллетеней]])</f>
        <v>45.34</v>
      </c>
      <c r="AZ48" s="10">
        <f>(Мособлдума_партии[[#This Row],[Вброс]]+Мособлдума_партии[[#This Row],[Перекладывание]])/2</f>
        <v>38.197397260273974</v>
      </c>
    </row>
    <row r="49" spans="2:52" x14ac:dyDescent="0.4">
      <c r="B49" t="s">
        <v>74</v>
      </c>
      <c r="C49" t="s">
        <v>102</v>
      </c>
      <c r="D49" t="s">
        <v>138</v>
      </c>
      <c r="E49" t="s">
        <v>177</v>
      </c>
      <c r="F49" s="8">
        <f t="shared" ca="1" si="19"/>
        <v>3915</v>
      </c>
      <c r="G49" s="8" t="str">
        <f>Дума_партии[[#This Row],[Местоположение]]</f>
        <v>Кубинка</v>
      </c>
      <c r="H49" s="2" t="str">
        <f>LEFT(Мособлдума_партии[[#This Row],[tik]],4)&amp;"."&amp;IF(ISNUMBER(VALUE(RIGHT(Мособлдума_партии[[#This Row],[tik]]))),RIGHT(Мособлдума_партии[[#This Row],[tik]]),"")</f>
        <v>Один.</v>
      </c>
      <c r="I49">
        <v>1596</v>
      </c>
      <c r="J49" s="8">
        <f>Мособлдума_партии[[#This Row],[Число избирателей, внесенных в список на момент окончания голосования]]</f>
        <v>1596</v>
      </c>
      <c r="K49">
        <v>1500</v>
      </c>
      <c r="L49" s="1"/>
      <c r="M49">
        <v>607</v>
      </c>
      <c r="N49">
        <v>5</v>
      </c>
      <c r="O49" s="3">
        <f t="shared" si="20"/>
        <v>38.345864661654133</v>
      </c>
      <c r="P49" s="3">
        <f t="shared" si="21"/>
        <v>0.31328320802005011</v>
      </c>
      <c r="Q49">
        <v>888</v>
      </c>
      <c r="R49">
        <v>5</v>
      </c>
      <c r="S49">
        <v>607</v>
      </c>
      <c r="T49" s="1">
        <f t="shared" si="22"/>
        <v>612</v>
      </c>
      <c r="U49" s="3">
        <f t="shared" si="23"/>
        <v>0.81699346405228757</v>
      </c>
      <c r="V49">
        <v>34</v>
      </c>
      <c r="W49" s="3">
        <f t="shared" si="24"/>
        <v>5.5555555555555554</v>
      </c>
      <c r="X49">
        <v>578</v>
      </c>
      <c r="Y49">
        <v>0</v>
      </c>
      <c r="Z49">
        <v>0</v>
      </c>
      <c r="AA49">
        <v>10</v>
      </c>
      <c r="AB49" s="3">
        <f t="shared" si="25"/>
        <v>1.6339869281045751</v>
      </c>
      <c r="AC49">
        <v>77</v>
      </c>
      <c r="AD49" s="3">
        <f t="shared" si="26"/>
        <v>12.581699346405228</v>
      </c>
      <c r="AE49">
        <v>37</v>
      </c>
      <c r="AF49" s="3">
        <f t="shared" si="27"/>
        <v>6.0457516339869279</v>
      </c>
      <c r="AG49">
        <v>58</v>
      </c>
      <c r="AH49" s="3">
        <f t="shared" si="28"/>
        <v>9.477124183006536</v>
      </c>
      <c r="AI49">
        <v>133</v>
      </c>
      <c r="AJ49" s="3">
        <f t="shared" si="29"/>
        <v>21.732026143790851</v>
      </c>
      <c r="AK49">
        <v>165</v>
      </c>
      <c r="AL49" s="3">
        <f t="shared" si="30"/>
        <v>26.96078431372549</v>
      </c>
      <c r="AM49">
        <v>16</v>
      </c>
      <c r="AN49" s="3">
        <f t="shared" si="31"/>
        <v>2.6143790849673203</v>
      </c>
      <c r="AO49">
        <v>10</v>
      </c>
      <c r="AP49" s="3">
        <f t="shared" si="32"/>
        <v>1.6339869281045751</v>
      </c>
      <c r="AQ49">
        <v>25</v>
      </c>
      <c r="AR49" s="3">
        <f t="shared" si="33"/>
        <v>4.0849673202614376</v>
      </c>
      <c r="AS49">
        <v>47</v>
      </c>
      <c r="AT49" s="3">
        <f t="shared" si="34"/>
        <v>7.6797385620915035</v>
      </c>
      <c r="AU49" t="s">
        <v>369</v>
      </c>
      <c r="AV49" s="72">
        <f>Дума_партии[[#This Row],[КОИБ]]</f>
        <v>2017</v>
      </c>
      <c r="AW49" s="1" t="str">
        <f>IF(Дума_партии[[#This Row],[Наблюдателей]]=0,"",Дума_партии[[#This Row],[Наблюдателей]])</f>
        <v/>
      </c>
      <c r="AX49"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12.246575342465746</v>
      </c>
      <c r="AY49" s="10">
        <f>2*(Мособлдума_партии[[#This Row],[6. Всероссийская политическая партия "ЕДИНАЯ РОССИЯ"]]-(AB$203/100)*Мособлдума_партии[[#This Row],[Число действительных бюллетеней]])</f>
        <v>17.879999999999995</v>
      </c>
      <c r="AZ49" s="10">
        <f>(Мособлдума_партии[[#This Row],[Вброс]]+Мособлдума_партии[[#This Row],[Перекладывание]])/2</f>
        <v>15.063287671232871</v>
      </c>
    </row>
    <row r="50" spans="2:52" x14ac:dyDescent="0.4">
      <c r="B50" t="s">
        <v>74</v>
      </c>
      <c r="C50" t="s">
        <v>102</v>
      </c>
      <c r="D50" t="s">
        <v>138</v>
      </c>
      <c r="E50" t="s">
        <v>178</v>
      </c>
      <c r="F50" s="8">
        <f t="shared" ca="1" si="19"/>
        <v>3916</v>
      </c>
      <c r="G50" s="8" t="str">
        <f>Дума_партии[[#This Row],[Местоположение]]</f>
        <v>Кубинка</v>
      </c>
      <c r="H50" s="2" t="str">
        <f>LEFT(Мособлдума_партии[[#This Row],[tik]],4)&amp;"."&amp;IF(ISNUMBER(VALUE(RIGHT(Мособлдума_партии[[#This Row],[tik]]))),RIGHT(Мособлдума_партии[[#This Row],[tik]]),"")</f>
        <v>Один.</v>
      </c>
      <c r="I50">
        <v>1548</v>
      </c>
      <c r="J50" s="8">
        <f>Мособлдума_партии[[#This Row],[Число избирателей, внесенных в список на момент окончания голосования]]</f>
        <v>1548</v>
      </c>
      <c r="K50">
        <v>1400</v>
      </c>
      <c r="L50" s="1"/>
      <c r="M50">
        <v>715</v>
      </c>
      <c r="N50">
        <v>4</v>
      </c>
      <c r="O50" s="3">
        <f t="shared" si="20"/>
        <v>46.447028423772608</v>
      </c>
      <c r="P50" s="3">
        <f t="shared" si="21"/>
        <v>0.25839793281653745</v>
      </c>
      <c r="Q50">
        <v>681</v>
      </c>
      <c r="R50">
        <v>4</v>
      </c>
      <c r="S50">
        <v>715</v>
      </c>
      <c r="T50" s="1">
        <f t="shared" si="22"/>
        <v>719</v>
      </c>
      <c r="U50" s="3">
        <f t="shared" si="23"/>
        <v>0.55632823365785811</v>
      </c>
      <c r="V50">
        <v>21</v>
      </c>
      <c r="W50" s="3">
        <f t="shared" si="24"/>
        <v>2.9207232267037551</v>
      </c>
      <c r="X50">
        <v>698</v>
      </c>
      <c r="Y50">
        <v>0</v>
      </c>
      <c r="Z50">
        <v>0</v>
      </c>
      <c r="AA50">
        <v>19</v>
      </c>
      <c r="AB50" s="3">
        <f t="shared" si="25"/>
        <v>2.642559109874826</v>
      </c>
      <c r="AC50">
        <v>74</v>
      </c>
      <c r="AD50" s="3">
        <f t="shared" si="26"/>
        <v>10.292072322670375</v>
      </c>
      <c r="AE50">
        <v>47</v>
      </c>
      <c r="AF50" s="3">
        <f t="shared" si="27"/>
        <v>6.5368567454798328</v>
      </c>
      <c r="AG50">
        <v>54</v>
      </c>
      <c r="AH50" s="3">
        <f t="shared" si="28"/>
        <v>7.5104311543810844</v>
      </c>
      <c r="AI50">
        <v>159</v>
      </c>
      <c r="AJ50" s="3">
        <f t="shared" si="29"/>
        <v>22.114047287899862</v>
      </c>
      <c r="AK50">
        <v>235</v>
      </c>
      <c r="AL50" s="3">
        <f t="shared" si="30"/>
        <v>32.684283727399162</v>
      </c>
      <c r="AM50">
        <v>17</v>
      </c>
      <c r="AN50" s="3">
        <f t="shared" si="31"/>
        <v>2.364394993045897</v>
      </c>
      <c r="AO50">
        <v>16</v>
      </c>
      <c r="AP50" s="3">
        <f t="shared" si="32"/>
        <v>2.2253129346314324</v>
      </c>
      <c r="AQ50">
        <v>28</v>
      </c>
      <c r="AR50" s="3">
        <f t="shared" si="33"/>
        <v>3.8942976356050067</v>
      </c>
      <c r="AS50">
        <v>49</v>
      </c>
      <c r="AT50" s="3">
        <f t="shared" si="34"/>
        <v>6.8150208623087618</v>
      </c>
      <c r="AU50" t="s">
        <v>369</v>
      </c>
      <c r="AV50" s="72">
        <f>Дума_партии[[#This Row],[КОИБ]]</f>
        <v>2017</v>
      </c>
      <c r="AW50" s="1" t="str">
        <f>IF(Дума_партии[[#This Row],[Наблюдателей]]=0,"",Дума_партии[[#This Row],[Наблюдателей]])</f>
        <v/>
      </c>
      <c r="AX50"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63.753424657534225</v>
      </c>
      <c r="AY50" s="10">
        <f>2*(Мособлдума_партии[[#This Row],[6. Всероссийская политическая партия "ЕДИНАЯ РОССИЯ"]]-(AB$203/100)*Мособлдума_партии[[#This Row],[Число действительных бюллетеней]])</f>
        <v>93.079999999999984</v>
      </c>
      <c r="AZ50" s="10">
        <f>(Мособлдума_партии[[#This Row],[Вброс]]+Мособлдума_партии[[#This Row],[Перекладывание]])/2</f>
        <v>78.416712328767105</v>
      </c>
    </row>
    <row r="51" spans="2:52" x14ac:dyDescent="0.4">
      <c r="B51" t="s">
        <v>74</v>
      </c>
      <c r="C51" t="s">
        <v>102</v>
      </c>
      <c r="D51" t="s">
        <v>138</v>
      </c>
      <c r="E51" t="s">
        <v>179</v>
      </c>
      <c r="F51" s="8">
        <f t="shared" ca="1" si="19"/>
        <v>3917</v>
      </c>
      <c r="G51" s="8" t="str">
        <f>Дума_партии[[#This Row],[Местоположение]]</f>
        <v>Кубинка</v>
      </c>
      <c r="H51" s="2" t="str">
        <f>LEFT(Мособлдума_партии[[#This Row],[tik]],4)&amp;"."&amp;IF(ISNUMBER(VALUE(RIGHT(Мособлдума_партии[[#This Row],[tik]]))),RIGHT(Мособлдума_партии[[#This Row],[tik]]),"")</f>
        <v>Один.</v>
      </c>
      <c r="I51">
        <v>2222</v>
      </c>
      <c r="J51" s="8">
        <f>Мособлдума_партии[[#This Row],[Число избирателей, внесенных в список на момент окончания голосования]]</f>
        <v>2222</v>
      </c>
      <c r="K51">
        <v>1800</v>
      </c>
      <c r="L51" s="1"/>
      <c r="M51">
        <v>1213</v>
      </c>
      <c r="N51">
        <v>4</v>
      </c>
      <c r="O51" s="3">
        <f t="shared" si="20"/>
        <v>54.770477047704773</v>
      </c>
      <c r="P51" s="3">
        <f t="shared" si="21"/>
        <v>0.18001800180018002</v>
      </c>
      <c r="Q51">
        <v>583</v>
      </c>
      <c r="R51">
        <v>3</v>
      </c>
      <c r="S51">
        <v>1194</v>
      </c>
      <c r="T51" s="1">
        <f t="shared" si="22"/>
        <v>1197</v>
      </c>
      <c r="U51" s="3">
        <f t="shared" si="23"/>
        <v>0.25062656641604009</v>
      </c>
      <c r="V51">
        <v>49</v>
      </c>
      <c r="W51" s="3">
        <f t="shared" si="24"/>
        <v>4.0935672514619883</v>
      </c>
      <c r="X51">
        <v>1148</v>
      </c>
      <c r="Y51">
        <v>0</v>
      </c>
      <c r="Z51">
        <v>0</v>
      </c>
      <c r="AA51">
        <v>26</v>
      </c>
      <c r="AB51" s="3">
        <f t="shared" si="25"/>
        <v>2.1720969089390141</v>
      </c>
      <c r="AC51">
        <v>82</v>
      </c>
      <c r="AD51" s="3">
        <f t="shared" si="26"/>
        <v>6.8504594820384295</v>
      </c>
      <c r="AE51">
        <v>80</v>
      </c>
      <c r="AF51" s="3">
        <f t="shared" si="27"/>
        <v>6.6833751044277356</v>
      </c>
      <c r="AG51">
        <v>49</v>
      </c>
      <c r="AH51" s="3">
        <f t="shared" si="28"/>
        <v>4.0935672514619883</v>
      </c>
      <c r="AI51">
        <v>229</v>
      </c>
      <c r="AJ51" s="3">
        <f t="shared" si="29"/>
        <v>19.131161236424393</v>
      </c>
      <c r="AK51">
        <v>554</v>
      </c>
      <c r="AL51" s="3">
        <f t="shared" si="30"/>
        <v>46.28237259816207</v>
      </c>
      <c r="AM51">
        <v>14</v>
      </c>
      <c r="AN51" s="3">
        <f t="shared" si="31"/>
        <v>1.1695906432748537</v>
      </c>
      <c r="AO51">
        <v>15</v>
      </c>
      <c r="AP51" s="3">
        <f t="shared" si="32"/>
        <v>1.2531328320802004</v>
      </c>
      <c r="AQ51">
        <v>32</v>
      </c>
      <c r="AR51" s="3">
        <f t="shared" si="33"/>
        <v>2.6733500417710943</v>
      </c>
      <c r="AS51">
        <v>67</v>
      </c>
      <c r="AT51" s="3">
        <f t="shared" si="34"/>
        <v>5.5973266499582293</v>
      </c>
      <c r="AU51" t="s">
        <v>369</v>
      </c>
      <c r="AV51" s="72">
        <f>Дума_партии[[#This Row],[КОИБ]]</f>
        <v>2017</v>
      </c>
      <c r="AW51" s="1" t="str">
        <f>IF(Дума_партии[[#This Row],[Наблюдателей]]=0,"",Дума_партии[[#This Row],[Наблюдателей]])</f>
        <v/>
      </c>
      <c r="AX51"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334.30136986301369</v>
      </c>
      <c r="AY51" s="10">
        <f>2*(Мособлдума_партии[[#This Row],[6. Всероссийская политическая партия "ЕДИНАЯ РОССИЯ"]]-(AB$203/100)*Мособлдума_партии[[#This Row],[Число действительных бюллетеней]])</f>
        <v>488.07999999999993</v>
      </c>
      <c r="AZ51" s="10">
        <f>(Мособлдума_партии[[#This Row],[Вброс]]+Мособлдума_партии[[#This Row],[Перекладывание]])/2</f>
        <v>411.19068493150678</v>
      </c>
    </row>
    <row r="52" spans="2:52" x14ac:dyDescent="0.4">
      <c r="B52" t="s">
        <v>74</v>
      </c>
      <c r="C52" t="s">
        <v>102</v>
      </c>
      <c r="D52" t="s">
        <v>138</v>
      </c>
      <c r="E52" t="s">
        <v>180</v>
      </c>
      <c r="F52" s="8">
        <f t="shared" ca="1" si="19"/>
        <v>3919</v>
      </c>
      <c r="G52" s="8" t="str">
        <f>Дума_партии[[#This Row],[Местоположение]]</f>
        <v>Чупряково</v>
      </c>
      <c r="H52" s="2" t="str">
        <f>LEFT(Мособлдума_партии[[#This Row],[tik]],4)&amp;"."&amp;IF(ISNUMBER(VALUE(RIGHT(Мособлдума_партии[[#This Row],[tik]]))),RIGHT(Мособлдума_партии[[#This Row],[tik]]),"")</f>
        <v>Один.</v>
      </c>
      <c r="I52">
        <v>1888</v>
      </c>
      <c r="J52" s="8">
        <f>Мособлдума_партии[[#This Row],[Число избирателей, внесенных в список на момент окончания голосования]]</f>
        <v>1888</v>
      </c>
      <c r="K52">
        <v>1500</v>
      </c>
      <c r="L52" s="1"/>
      <c r="M52">
        <v>620</v>
      </c>
      <c r="N52">
        <v>129</v>
      </c>
      <c r="O52" s="3">
        <f t="shared" si="20"/>
        <v>39.671610169491522</v>
      </c>
      <c r="P52" s="3">
        <f t="shared" si="21"/>
        <v>6.8326271186440675</v>
      </c>
      <c r="Q52">
        <v>751</v>
      </c>
      <c r="R52">
        <v>129</v>
      </c>
      <c r="S52">
        <v>620</v>
      </c>
      <c r="T52" s="1">
        <f t="shared" si="22"/>
        <v>749</v>
      </c>
      <c r="U52" s="3">
        <f t="shared" si="23"/>
        <v>17.222963951935913</v>
      </c>
      <c r="V52">
        <v>25</v>
      </c>
      <c r="W52" s="3">
        <f t="shared" si="24"/>
        <v>3.3377837116154874</v>
      </c>
      <c r="X52">
        <v>724</v>
      </c>
      <c r="Y52">
        <v>0</v>
      </c>
      <c r="Z52">
        <v>0</v>
      </c>
      <c r="AA52">
        <v>14</v>
      </c>
      <c r="AB52" s="3">
        <f t="shared" si="25"/>
        <v>1.8691588785046729</v>
      </c>
      <c r="AC52">
        <v>65</v>
      </c>
      <c r="AD52" s="3">
        <f t="shared" si="26"/>
        <v>8.6782376502002663</v>
      </c>
      <c r="AE52">
        <v>86</v>
      </c>
      <c r="AF52" s="3">
        <f t="shared" si="27"/>
        <v>11.481975967957275</v>
      </c>
      <c r="AG52">
        <v>48</v>
      </c>
      <c r="AH52" s="3">
        <f t="shared" si="28"/>
        <v>6.4085447263017352</v>
      </c>
      <c r="AI52">
        <v>137</v>
      </c>
      <c r="AJ52" s="3">
        <f t="shared" si="29"/>
        <v>18.291054739652871</v>
      </c>
      <c r="AK52">
        <v>292</v>
      </c>
      <c r="AL52" s="3">
        <f t="shared" si="30"/>
        <v>38.98531375166889</v>
      </c>
      <c r="AM52">
        <v>11</v>
      </c>
      <c r="AN52" s="3">
        <f t="shared" si="31"/>
        <v>1.4686248331108145</v>
      </c>
      <c r="AO52">
        <v>8</v>
      </c>
      <c r="AP52" s="3">
        <f t="shared" si="32"/>
        <v>1.0680907877169559</v>
      </c>
      <c r="AQ52">
        <v>26</v>
      </c>
      <c r="AR52" s="3">
        <f t="shared" si="33"/>
        <v>3.4712950600801067</v>
      </c>
      <c r="AS52">
        <v>37</v>
      </c>
      <c r="AT52" s="3">
        <f t="shared" si="34"/>
        <v>4.939919893190921</v>
      </c>
      <c r="AU52" t="s">
        <v>369</v>
      </c>
      <c r="AV52" s="72">
        <f>Дума_партии[[#This Row],[КОИБ]]</f>
        <v>2017</v>
      </c>
      <c r="AW52" s="1" t="str">
        <f>IF(Дума_партии[[#This Row],[Наблюдателей]]=0,"",Дума_партии[[#This Row],[Наблюдателей]])</f>
        <v/>
      </c>
      <c r="AX52"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132.21917808219177</v>
      </c>
      <c r="AY52" s="10">
        <f>2*(Мособлдума_партии[[#This Row],[6. Всероссийская политическая партия "ЕДИНАЯ РОССИЯ"]]-(AB$203/100)*Мособлдума_партии[[#This Row],[Число действительных бюллетеней]])</f>
        <v>193.03999999999996</v>
      </c>
      <c r="AZ52" s="10">
        <f>(Мособлдума_партии[[#This Row],[Вброс]]+Мособлдума_партии[[#This Row],[Перекладывание]])/2</f>
        <v>162.62958904109587</v>
      </c>
    </row>
    <row r="53" spans="2:52" x14ac:dyDescent="0.4">
      <c r="B53" t="s">
        <v>74</v>
      </c>
      <c r="C53" t="s">
        <v>102</v>
      </c>
      <c r="D53" t="s">
        <v>138</v>
      </c>
      <c r="E53" t="s">
        <v>181</v>
      </c>
      <c r="F53" s="8">
        <f t="shared" ca="1" si="19"/>
        <v>3921</v>
      </c>
      <c r="G53" s="8" t="str">
        <f>Дума_партии[[#This Row],[Местоположение]]</f>
        <v>Кубинка</v>
      </c>
      <c r="H53" s="2" t="str">
        <f>LEFT(Мособлдума_партии[[#This Row],[tik]],4)&amp;"."&amp;IF(ISNUMBER(VALUE(RIGHT(Мособлдума_партии[[#This Row],[tik]]))),RIGHT(Мособлдума_партии[[#This Row],[tik]]),"")</f>
        <v>Один.</v>
      </c>
      <c r="I53">
        <v>1665</v>
      </c>
      <c r="J53" s="8">
        <f>Мособлдума_партии[[#This Row],[Число избирателей, внесенных в список на момент окончания голосования]]</f>
        <v>1665</v>
      </c>
      <c r="K53">
        <v>1500</v>
      </c>
      <c r="L53" s="1"/>
      <c r="M53">
        <v>607</v>
      </c>
      <c r="N53">
        <v>5</v>
      </c>
      <c r="O53" s="3">
        <f t="shared" si="20"/>
        <v>36.756756756756758</v>
      </c>
      <c r="P53" s="3">
        <f t="shared" si="21"/>
        <v>0.3003003003003003</v>
      </c>
      <c r="Q53">
        <v>888</v>
      </c>
      <c r="R53">
        <v>5</v>
      </c>
      <c r="S53">
        <v>607</v>
      </c>
      <c r="T53" s="1">
        <f t="shared" si="22"/>
        <v>612</v>
      </c>
      <c r="U53" s="3">
        <f t="shared" si="23"/>
        <v>0.81699346405228757</v>
      </c>
      <c r="V53">
        <v>28</v>
      </c>
      <c r="W53" s="3">
        <f t="shared" si="24"/>
        <v>4.5751633986928102</v>
      </c>
      <c r="X53">
        <v>584</v>
      </c>
      <c r="Y53">
        <v>0</v>
      </c>
      <c r="Z53">
        <v>0</v>
      </c>
      <c r="AA53">
        <v>16</v>
      </c>
      <c r="AB53" s="3">
        <f t="shared" si="25"/>
        <v>2.6143790849673203</v>
      </c>
      <c r="AC53">
        <v>65</v>
      </c>
      <c r="AD53" s="3">
        <f t="shared" si="26"/>
        <v>10.620915032679738</v>
      </c>
      <c r="AE53">
        <v>48</v>
      </c>
      <c r="AF53" s="3">
        <f t="shared" si="27"/>
        <v>7.8431372549019605</v>
      </c>
      <c r="AG53">
        <v>50</v>
      </c>
      <c r="AH53" s="3">
        <f t="shared" si="28"/>
        <v>8.1699346405228752</v>
      </c>
      <c r="AI53">
        <v>143</v>
      </c>
      <c r="AJ53" s="3">
        <f t="shared" si="29"/>
        <v>23.366013071895424</v>
      </c>
      <c r="AK53">
        <v>157</v>
      </c>
      <c r="AL53" s="3">
        <f t="shared" si="30"/>
        <v>25.653594771241831</v>
      </c>
      <c r="AM53">
        <v>14</v>
      </c>
      <c r="AN53" s="3">
        <f t="shared" si="31"/>
        <v>2.2875816993464051</v>
      </c>
      <c r="AO53">
        <v>17</v>
      </c>
      <c r="AP53" s="3">
        <f t="shared" si="32"/>
        <v>2.7777777777777777</v>
      </c>
      <c r="AQ53">
        <v>30</v>
      </c>
      <c r="AR53" s="3">
        <f t="shared" si="33"/>
        <v>4.9019607843137258</v>
      </c>
      <c r="AS53">
        <v>44</v>
      </c>
      <c r="AT53" s="3">
        <f t="shared" si="34"/>
        <v>7.1895424836601309</v>
      </c>
      <c r="AU53" t="s">
        <v>369</v>
      </c>
      <c r="AV53" s="72">
        <f>Дума_партии[[#This Row],[КОИБ]]</f>
        <v>2017</v>
      </c>
      <c r="AW53" s="1" t="str">
        <f>IF(Дума_партии[[#This Row],[Наблюдателей]]=0,"",Дума_партии[[#This Row],[Наблюдателей]])</f>
        <v/>
      </c>
      <c r="AX53"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-0.93150684931507044</v>
      </c>
      <c r="AY53" s="10">
        <f>2*(Мособлдума_партии[[#This Row],[6. Всероссийская политическая партия "ЕДИНАЯ РОССИЯ"]]-(AB$203/100)*Мособлдума_партии[[#This Row],[Число действительных бюллетеней]])</f>
        <v>-1.3600000000000136</v>
      </c>
      <c r="AZ53" s="10">
        <f>(Мособлдума_партии[[#This Row],[Вброс]]+Мособлдума_партии[[#This Row],[Перекладывание]])/2</f>
        <v>-1.145753424657542</v>
      </c>
    </row>
    <row r="54" spans="2:52" x14ac:dyDescent="0.4">
      <c r="B54" t="s">
        <v>74</v>
      </c>
      <c r="C54" t="s">
        <v>102</v>
      </c>
      <c r="D54" t="s">
        <v>138</v>
      </c>
      <c r="E54" t="s">
        <v>182</v>
      </c>
      <c r="F54" s="8">
        <f t="shared" ca="1" si="19"/>
        <v>3923</v>
      </c>
      <c r="G54" s="8" t="str">
        <f>Дума_партии[[#This Row],[Местоположение]]</f>
        <v>Кубинка</v>
      </c>
      <c r="H54" s="2" t="str">
        <f>LEFT(Мособлдума_партии[[#This Row],[tik]],4)&amp;"."&amp;IF(ISNUMBER(VALUE(RIGHT(Мособлдума_партии[[#This Row],[tik]]))),RIGHT(Мособлдума_партии[[#This Row],[tik]]),"")</f>
        <v>Один.</v>
      </c>
      <c r="I54">
        <v>1691</v>
      </c>
      <c r="J54" s="8">
        <f>Мособлдума_партии[[#This Row],[Число избирателей, внесенных в список на момент окончания голосования]]</f>
        <v>1691</v>
      </c>
      <c r="K54">
        <v>1500</v>
      </c>
      <c r="L54" s="1"/>
      <c r="M54">
        <v>698</v>
      </c>
      <c r="N54">
        <v>5</v>
      </c>
      <c r="O54" s="3">
        <f t="shared" si="20"/>
        <v>41.573033707865171</v>
      </c>
      <c r="P54" s="3">
        <f t="shared" si="21"/>
        <v>0.29568302779420463</v>
      </c>
      <c r="Q54">
        <v>797</v>
      </c>
      <c r="R54">
        <v>5</v>
      </c>
      <c r="S54">
        <v>698</v>
      </c>
      <c r="T54" s="1">
        <f t="shared" si="22"/>
        <v>703</v>
      </c>
      <c r="U54" s="3">
        <f t="shared" si="23"/>
        <v>0.71123755334281646</v>
      </c>
      <c r="V54">
        <v>48</v>
      </c>
      <c r="W54" s="3">
        <f t="shared" si="24"/>
        <v>6.8278805120910384</v>
      </c>
      <c r="X54">
        <v>655</v>
      </c>
      <c r="Y54">
        <v>0</v>
      </c>
      <c r="Z54">
        <v>0</v>
      </c>
      <c r="AA54">
        <v>18</v>
      </c>
      <c r="AB54" s="3">
        <f t="shared" si="25"/>
        <v>2.5604551920341394</v>
      </c>
      <c r="AC54">
        <v>65</v>
      </c>
      <c r="AD54" s="3">
        <f t="shared" si="26"/>
        <v>9.2460881934566146</v>
      </c>
      <c r="AE54">
        <v>55</v>
      </c>
      <c r="AF54" s="3">
        <f t="shared" si="27"/>
        <v>7.8236130867709814</v>
      </c>
      <c r="AG54">
        <v>47</v>
      </c>
      <c r="AH54" s="3">
        <f t="shared" si="28"/>
        <v>6.6856330014224747</v>
      </c>
      <c r="AI54">
        <v>172</v>
      </c>
      <c r="AJ54" s="3">
        <f t="shared" si="29"/>
        <v>24.466571834992887</v>
      </c>
      <c r="AK54">
        <v>186</v>
      </c>
      <c r="AL54" s="3">
        <f t="shared" si="30"/>
        <v>26.458036984352773</v>
      </c>
      <c r="AM54">
        <v>12</v>
      </c>
      <c r="AN54" s="3">
        <f t="shared" si="31"/>
        <v>1.7069701280227596</v>
      </c>
      <c r="AO54">
        <v>15</v>
      </c>
      <c r="AP54" s="3">
        <f t="shared" si="32"/>
        <v>2.1337126600284493</v>
      </c>
      <c r="AQ54">
        <v>32</v>
      </c>
      <c r="AR54" s="3">
        <f t="shared" si="33"/>
        <v>4.5519203413940259</v>
      </c>
      <c r="AS54">
        <v>53</v>
      </c>
      <c r="AT54" s="3">
        <f t="shared" si="34"/>
        <v>7.539118065433855</v>
      </c>
      <c r="AU54" t="s">
        <v>369</v>
      </c>
      <c r="AV54" s="72">
        <f>Дума_партии[[#This Row],[КОИБ]]</f>
        <v>2017</v>
      </c>
      <c r="AW54" s="1">
        <f>IF(Дума_партии[[#This Row],[Наблюдателей]]=0,"",Дума_партии[[#This Row],[Наблюдателей]])</f>
        <v>1</v>
      </c>
      <c r="AX54"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12.534246575342451</v>
      </c>
      <c r="AY54" s="10">
        <f>2*(Мособлдума_партии[[#This Row],[6. Всероссийская политическая партия "ЕДИНАЯ РОССИЯ"]]-(AB$203/100)*Мособлдума_партии[[#This Row],[Число действительных бюллетеней]])</f>
        <v>18.299999999999955</v>
      </c>
      <c r="AZ54" s="10">
        <f>(Мособлдума_партии[[#This Row],[Вброс]]+Мособлдума_партии[[#This Row],[Перекладывание]])/2</f>
        <v>15.417123287671203</v>
      </c>
    </row>
    <row r="55" spans="2:52" x14ac:dyDescent="0.4">
      <c r="B55" t="s">
        <v>74</v>
      </c>
      <c r="C55" t="s">
        <v>102</v>
      </c>
      <c r="D55" t="s">
        <v>138</v>
      </c>
      <c r="E55" t="s">
        <v>183</v>
      </c>
      <c r="F55" s="8">
        <f t="shared" ca="1" si="19"/>
        <v>3925</v>
      </c>
      <c r="G55" s="8" t="str">
        <f>Дума_партии[[#This Row],[Местоположение]]</f>
        <v>Дубки</v>
      </c>
      <c r="H55" s="2" t="str">
        <f>LEFT(Мособлдума_партии[[#This Row],[tik]],4)&amp;"."&amp;IF(ISNUMBER(VALUE(RIGHT(Мособлдума_партии[[#This Row],[tik]]))),RIGHT(Мособлдума_партии[[#This Row],[tik]]),"")</f>
        <v>Один.</v>
      </c>
      <c r="I55">
        <v>517</v>
      </c>
      <c r="J55" s="8">
        <f>Мособлдума_партии[[#This Row],[Число избирателей, внесенных в список на момент окончания голосования]]</f>
        <v>517</v>
      </c>
      <c r="K55">
        <v>500</v>
      </c>
      <c r="L55" s="1"/>
      <c r="M55">
        <v>137</v>
      </c>
      <c r="N55">
        <v>266</v>
      </c>
      <c r="O55" s="3">
        <f t="shared" si="20"/>
        <v>77.949709864603477</v>
      </c>
      <c r="P55" s="3">
        <f t="shared" si="21"/>
        <v>51.450676982591879</v>
      </c>
      <c r="Q55">
        <v>97</v>
      </c>
      <c r="R55">
        <v>266</v>
      </c>
      <c r="S55">
        <v>137</v>
      </c>
      <c r="T55" s="1">
        <f t="shared" si="22"/>
        <v>403</v>
      </c>
      <c r="U55" s="3">
        <f t="shared" si="23"/>
        <v>66.00496277915633</v>
      </c>
      <c r="V55">
        <v>5</v>
      </c>
      <c r="W55" s="3">
        <f t="shared" si="24"/>
        <v>1.2406947890818858</v>
      </c>
      <c r="X55">
        <v>398</v>
      </c>
      <c r="Y55">
        <v>0</v>
      </c>
      <c r="Z55">
        <v>0</v>
      </c>
      <c r="AA55">
        <v>5</v>
      </c>
      <c r="AB55" s="3">
        <f t="shared" si="25"/>
        <v>1.2406947890818858</v>
      </c>
      <c r="AC55">
        <v>28</v>
      </c>
      <c r="AD55" s="3">
        <f t="shared" si="26"/>
        <v>6.9478908188585606</v>
      </c>
      <c r="AE55">
        <v>11</v>
      </c>
      <c r="AF55" s="3">
        <f t="shared" si="27"/>
        <v>2.7295285359801489</v>
      </c>
      <c r="AG55">
        <v>8</v>
      </c>
      <c r="AH55" s="3">
        <f t="shared" si="28"/>
        <v>1.9851116625310175</v>
      </c>
      <c r="AI55">
        <v>131</v>
      </c>
      <c r="AJ55" s="3">
        <f t="shared" si="29"/>
        <v>32.506203473945412</v>
      </c>
      <c r="AK55">
        <v>180</v>
      </c>
      <c r="AL55" s="3">
        <f t="shared" si="30"/>
        <v>44.665012406947888</v>
      </c>
      <c r="AM55">
        <v>3</v>
      </c>
      <c r="AN55" s="3">
        <f t="shared" si="31"/>
        <v>0.74441687344913154</v>
      </c>
      <c r="AO55">
        <v>1</v>
      </c>
      <c r="AP55" s="3">
        <f t="shared" si="32"/>
        <v>0.24813895781637718</v>
      </c>
      <c r="AQ55">
        <v>9</v>
      </c>
      <c r="AR55" s="3">
        <f t="shared" si="33"/>
        <v>2.2332506203473947</v>
      </c>
      <c r="AS55">
        <v>22</v>
      </c>
      <c r="AT55" s="3">
        <f t="shared" si="34"/>
        <v>5.4590570719602978</v>
      </c>
      <c r="AU55" t="s">
        <v>369</v>
      </c>
      <c r="AV55" s="72" t="str">
        <f>Дума_партии[[#This Row],[КОИБ]]</f>
        <v>N</v>
      </c>
      <c r="AW55" s="1" t="str">
        <f>IF(Дума_партии[[#This Row],[Наблюдателей]]=0,"",Дума_партии[[#This Row],[Наблюдателей]])</f>
        <v/>
      </c>
      <c r="AX55"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99.36986301369862</v>
      </c>
      <c r="AY55" s="10">
        <f>2*(Мособлдума_партии[[#This Row],[6. Всероссийская политическая партия "ЕДИНАЯ РОССИЯ"]]-(AB$203/100)*Мособлдума_партии[[#This Row],[Число действительных бюллетеней]])</f>
        <v>145.07999999999998</v>
      </c>
      <c r="AZ55" s="10">
        <f>(Мособлдума_партии[[#This Row],[Вброс]]+Мособлдума_партии[[#This Row],[Перекладывание]])/2</f>
        <v>122.2249315068493</v>
      </c>
    </row>
    <row r="56" spans="2:52" x14ac:dyDescent="0.4">
      <c r="B56" t="s">
        <v>74</v>
      </c>
      <c r="C56" t="s">
        <v>366</v>
      </c>
      <c r="D56" t="s">
        <v>138</v>
      </c>
      <c r="E56" t="s">
        <v>184</v>
      </c>
      <c r="F56" s="8">
        <f t="shared" ca="1" si="19"/>
        <v>3926</v>
      </c>
      <c r="G56" s="8" t="str">
        <f>Дума_партии[[#This Row],[Местоположение]]</f>
        <v>Лесной Городок</v>
      </c>
      <c r="H56" s="2" t="str">
        <f>LEFT(Мособлдума_партии[[#This Row],[tik]],4)&amp;"."&amp;IF(ISNUMBER(VALUE(RIGHT(Мособлдума_партии[[#This Row],[tik]]))),RIGHT(Мособлдума_партии[[#This Row],[tik]]),"")</f>
        <v>Один.</v>
      </c>
      <c r="I56">
        <v>1745</v>
      </c>
      <c r="J56" s="8">
        <f>Мособлдума_партии[[#This Row],[Число избирателей, внесенных в список на момент окончания голосования]]</f>
        <v>1745</v>
      </c>
      <c r="K56">
        <v>1500</v>
      </c>
      <c r="L56" s="1"/>
      <c r="M56">
        <v>547</v>
      </c>
      <c r="N56">
        <v>42</v>
      </c>
      <c r="O56" s="3">
        <f t="shared" si="20"/>
        <v>33.753581661891118</v>
      </c>
      <c r="P56" s="3">
        <f t="shared" si="21"/>
        <v>2.4068767908309456</v>
      </c>
      <c r="Q56">
        <v>911</v>
      </c>
      <c r="R56">
        <v>42</v>
      </c>
      <c r="S56">
        <v>546</v>
      </c>
      <c r="T56" s="1">
        <f t="shared" si="22"/>
        <v>588</v>
      </c>
      <c r="U56" s="3">
        <f t="shared" si="23"/>
        <v>7.1428571428571432</v>
      </c>
      <c r="V56">
        <v>29</v>
      </c>
      <c r="W56" s="3">
        <f t="shared" si="24"/>
        <v>4.9319727891156466</v>
      </c>
      <c r="X56">
        <v>559</v>
      </c>
      <c r="Y56">
        <v>0</v>
      </c>
      <c r="Z56">
        <v>0</v>
      </c>
      <c r="AA56">
        <v>10</v>
      </c>
      <c r="AB56" s="3">
        <f t="shared" si="25"/>
        <v>1.7006802721088434</v>
      </c>
      <c r="AC56">
        <v>41</v>
      </c>
      <c r="AD56" s="3">
        <f t="shared" si="26"/>
        <v>6.9727891156462585</v>
      </c>
      <c r="AE56">
        <v>38</v>
      </c>
      <c r="AF56" s="3">
        <f t="shared" si="27"/>
        <v>6.4625850340136051</v>
      </c>
      <c r="AG56">
        <v>43</v>
      </c>
      <c r="AH56" s="3">
        <f t="shared" si="28"/>
        <v>7.3129251700680271</v>
      </c>
      <c r="AI56">
        <v>129</v>
      </c>
      <c r="AJ56" s="3">
        <f t="shared" si="29"/>
        <v>21.938775510204081</v>
      </c>
      <c r="AK56">
        <v>185</v>
      </c>
      <c r="AL56" s="3">
        <f t="shared" si="30"/>
        <v>31.462585034013607</v>
      </c>
      <c r="AM56">
        <v>18</v>
      </c>
      <c r="AN56" s="3">
        <f t="shared" si="31"/>
        <v>3.0612244897959182</v>
      </c>
      <c r="AO56">
        <v>13</v>
      </c>
      <c r="AP56" s="3">
        <f t="shared" si="32"/>
        <v>2.2108843537414966</v>
      </c>
      <c r="AQ56">
        <v>25</v>
      </c>
      <c r="AR56" s="3">
        <f t="shared" si="33"/>
        <v>4.2517006802721085</v>
      </c>
      <c r="AS56">
        <v>57</v>
      </c>
      <c r="AT56" s="3">
        <f t="shared" si="34"/>
        <v>9.6938775510204085</v>
      </c>
      <c r="AU56" t="s">
        <v>368</v>
      </c>
      <c r="AV56" s="72">
        <f>Дума_партии[[#This Row],[КОИБ]]</f>
        <v>2017</v>
      </c>
      <c r="AW56" s="1" t="str">
        <f>IF(Дума_партии[[#This Row],[Наблюдателей]]=0,"",Дума_партии[[#This Row],[Наблюдателей]])</f>
        <v/>
      </c>
      <c r="AX56"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46.67123287671231</v>
      </c>
      <c r="AY56" s="10">
        <f>2*(Мособлдума_партии[[#This Row],[6. Всероссийская политическая партия "ЕДИНАЯ РОССИЯ"]]-(AB$203/100)*Мособлдума_партии[[#This Row],[Число действительных бюллетеней]])</f>
        <v>68.139999999999986</v>
      </c>
      <c r="AZ56" s="10">
        <f>(Мособлдума_партии[[#This Row],[Вброс]]+Мособлдума_партии[[#This Row],[Перекладывание]])/2</f>
        <v>57.405616438356148</v>
      </c>
    </row>
    <row r="57" spans="2:52" x14ac:dyDescent="0.4">
      <c r="B57" t="s">
        <v>74</v>
      </c>
      <c r="C57" t="s">
        <v>366</v>
      </c>
      <c r="D57" t="s">
        <v>138</v>
      </c>
      <c r="E57" t="s">
        <v>185</v>
      </c>
      <c r="F57" s="8">
        <f t="shared" ca="1" si="19"/>
        <v>3929</v>
      </c>
      <c r="G57" s="8" t="str">
        <f>Дума_партии[[#This Row],[Местоположение]]</f>
        <v>Лесной Городок</v>
      </c>
      <c r="H57" s="2" t="str">
        <f>LEFT(Мособлдума_партии[[#This Row],[tik]],4)&amp;"."&amp;IF(ISNUMBER(VALUE(RIGHT(Мособлдума_партии[[#This Row],[tik]]))),RIGHT(Мособлдума_партии[[#This Row],[tik]]),"")</f>
        <v>Один.</v>
      </c>
      <c r="I57">
        <v>1453</v>
      </c>
      <c r="J57" s="8">
        <f>Мособлдума_партии[[#This Row],[Число избирателей, внесенных в список на момент окончания голосования]]</f>
        <v>1453</v>
      </c>
      <c r="K57">
        <v>1300</v>
      </c>
      <c r="L57" s="1"/>
      <c r="M57">
        <v>485</v>
      </c>
      <c r="N57">
        <v>5</v>
      </c>
      <c r="O57" s="3">
        <f t="shared" si="20"/>
        <v>33.72333103922918</v>
      </c>
      <c r="P57" s="3">
        <f t="shared" si="21"/>
        <v>0.34411562284927738</v>
      </c>
      <c r="Q57">
        <v>810</v>
      </c>
      <c r="R57">
        <v>5</v>
      </c>
      <c r="S57">
        <v>485</v>
      </c>
      <c r="T57" s="1">
        <f t="shared" si="22"/>
        <v>490</v>
      </c>
      <c r="U57" s="3">
        <f t="shared" si="23"/>
        <v>1.0204081632653061</v>
      </c>
      <c r="V57">
        <v>23</v>
      </c>
      <c r="W57" s="3">
        <f t="shared" si="24"/>
        <v>4.6938775510204085</v>
      </c>
      <c r="X57">
        <v>467</v>
      </c>
      <c r="Y57">
        <v>0</v>
      </c>
      <c r="Z57">
        <v>0</v>
      </c>
      <c r="AA57">
        <v>13</v>
      </c>
      <c r="AB57" s="3">
        <f t="shared" si="25"/>
        <v>2.6530612244897958</v>
      </c>
      <c r="AC57">
        <v>37</v>
      </c>
      <c r="AD57" s="3">
        <f t="shared" si="26"/>
        <v>7.5510204081632653</v>
      </c>
      <c r="AE57">
        <v>39</v>
      </c>
      <c r="AF57" s="3">
        <f t="shared" si="27"/>
        <v>7.9591836734693882</v>
      </c>
      <c r="AG57">
        <v>31</v>
      </c>
      <c r="AH57" s="3">
        <f t="shared" si="28"/>
        <v>6.3265306122448983</v>
      </c>
      <c r="AI57">
        <v>106</v>
      </c>
      <c r="AJ57" s="3">
        <f t="shared" si="29"/>
        <v>21.632653061224488</v>
      </c>
      <c r="AK57">
        <v>117</v>
      </c>
      <c r="AL57" s="3">
        <f t="shared" si="30"/>
        <v>23.877551020408163</v>
      </c>
      <c r="AM57">
        <v>21</v>
      </c>
      <c r="AN57" s="3">
        <f t="shared" si="31"/>
        <v>4.2857142857142856</v>
      </c>
      <c r="AO57">
        <v>20</v>
      </c>
      <c r="AP57" s="3">
        <f t="shared" si="32"/>
        <v>4.0816326530612246</v>
      </c>
      <c r="AQ57">
        <v>21</v>
      </c>
      <c r="AR57" s="3">
        <f t="shared" si="33"/>
        <v>4.2857142857142856</v>
      </c>
      <c r="AS57">
        <v>62</v>
      </c>
      <c r="AT57" s="3">
        <f t="shared" si="34"/>
        <v>12.653061224489797</v>
      </c>
      <c r="AU57" t="s">
        <v>368</v>
      </c>
      <c r="AV57" s="72">
        <f>Дума_партии[[#This Row],[КОИБ]]</f>
        <v>2017</v>
      </c>
      <c r="AW57" s="1" t="str">
        <f>IF(Дума_партии[[#This Row],[Наблюдателей]]=0,"",Дума_партии[[#This Row],[Наблюдателей]])</f>
        <v/>
      </c>
      <c r="AX57"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-12.452054794520564</v>
      </c>
      <c r="AY57" s="10">
        <f>2*(Мособлдума_партии[[#This Row],[6. Всероссийская политическая партия "ЕДИНАЯ РОССИЯ"]]-(AB$203/100)*Мособлдума_партии[[#This Row],[Число действительных бюллетеней]])</f>
        <v>-18.180000000000007</v>
      </c>
      <c r="AZ57" s="10">
        <f>(Мособлдума_партии[[#This Row],[Вброс]]+Мособлдума_партии[[#This Row],[Перекладывание]])/2</f>
        <v>-15.316027397260285</v>
      </c>
    </row>
    <row r="58" spans="2:52" x14ac:dyDescent="0.4">
      <c r="B58" t="s">
        <v>74</v>
      </c>
      <c r="C58" t="s">
        <v>366</v>
      </c>
      <c r="D58" t="s">
        <v>138</v>
      </c>
      <c r="E58" t="s">
        <v>186</v>
      </c>
      <c r="F58" s="8">
        <f t="shared" ca="1" si="19"/>
        <v>3930</v>
      </c>
      <c r="G58" s="8" t="str">
        <f>Дума_партии[[#This Row],[Местоположение]]</f>
        <v>Лесной Городок</v>
      </c>
      <c r="H58" s="2" t="str">
        <f>LEFT(Мособлдума_партии[[#This Row],[tik]],4)&amp;"."&amp;IF(ISNUMBER(VALUE(RIGHT(Мособлдума_партии[[#This Row],[tik]]))),RIGHT(Мособлдума_партии[[#This Row],[tik]]),"")</f>
        <v>Один.</v>
      </c>
      <c r="I58">
        <v>1496</v>
      </c>
      <c r="J58" s="8">
        <f>Мособлдума_партии[[#This Row],[Число избирателей, внесенных в список на момент окончания голосования]]</f>
        <v>1496</v>
      </c>
      <c r="K58">
        <v>1300</v>
      </c>
      <c r="L58" s="1"/>
      <c r="M58">
        <v>513</v>
      </c>
      <c r="N58">
        <v>121</v>
      </c>
      <c r="O58" s="3">
        <f t="shared" si="20"/>
        <v>42.37967914438503</v>
      </c>
      <c r="P58" s="3">
        <f t="shared" si="21"/>
        <v>8.0882352941176467</v>
      </c>
      <c r="Q58">
        <v>666</v>
      </c>
      <c r="R58">
        <v>121</v>
      </c>
      <c r="S58">
        <v>513</v>
      </c>
      <c r="T58" s="1">
        <f t="shared" si="22"/>
        <v>634</v>
      </c>
      <c r="U58" s="3">
        <f t="shared" si="23"/>
        <v>19.085173501577287</v>
      </c>
      <c r="V58">
        <v>19</v>
      </c>
      <c r="W58" s="3">
        <f t="shared" si="24"/>
        <v>2.9968454258675079</v>
      </c>
      <c r="X58">
        <v>615</v>
      </c>
      <c r="Y58">
        <v>0</v>
      </c>
      <c r="Z58">
        <v>0</v>
      </c>
      <c r="AA58">
        <v>9</v>
      </c>
      <c r="AB58" s="3">
        <f t="shared" si="25"/>
        <v>1.4195583596214512</v>
      </c>
      <c r="AC58">
        <v>41</v>
      </c>
      <c r="AD58" s="3">
        <f t="shared" si="26"/>
        <v>6.4668769716088326</v>
      </c>
      <c r="AE58">
        <v>37</v>
      </c>
      <c r="AF58" s="3">
        <f t="shared" si="27"/>
        <v>5.8359621451104102</v>
      </c>
      <c r="AG58">
        <v>27</v>
      </c>
      <c r="AH58" s="3">
        <f t="shared" si="28"/>
        <v>4.2586750788643535</v>
      </c>
      <c r="AI58">
        <v>126</v>
      </c>
      <c r="AJ58" s="3">
        <f t="shared" si="29"/>
        <v>19.873817034700316</v>
      </c>
      <c r="AK58">
        <v>257</v>
      </c>
      <c r="AL58" s="3">
        <f t="shared" si="30"/>
        <v>40.536277602523661</v>
      </c>
      <c r="AM58">
        <v>31</v>
      </c>
      <c r="AN58" s="3">
        <f t="shared" si="31"/>
        <v>4.8895899053627758</v>
      </c>
      <c r="AO58">
        <v>25</v>
      </c>
      <c r="AP58" s="3">
        <f t="shared" si="32"/>
        <v>3.9432176656151419</v>
      </c>
      <c r="AQ58">
        <v>13</v>
      </c>
      <c r="AR58" s="3">
        <f t="shared" si="33"/>
        <v>2.0504731861198739</v>
      </c>
      <c r="AS58">
        <v>49</v>
      </c>
      <c r="AT58" s="3">
        <f t="shared" si="34"/>
        <v>7.7287066246056781</v>
      </c>
      <c r="AU58" t="s">
        <v>368</v>
      </c>
      <c r="AV58" s="72">
        <f>Дума_партии[[#This Row],[КОИБ]]</f>
        <v>2017</v>
      </c>
      <c r="AW58" s="1">
        <f>IF(Дума_партии[[#This Row],[Наблюдателей]]=0,"",Дума_партии[[#This Row],[Наблюдателей]])</f>
        <v>1</v>
      </c>
      <c r="AX58"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124.58904109589039</v>
      </c>
      <c r="AY58" s="10">
        <f>2*(Мособлдума_партии[[#This Row],[6. Всероссийская политическая партия "ЕДИНАЯ РОССИЯ"]]-(AB$203/100)*Мособлдума_партии[[#This Row],[Число действительных бюллетеней]])</f>
        <v>181.89999999999998</v>
      </c>
      <c r="AZ58" s="10">
        <f>(Мособлдума_партии[[#This Row],[Вброс]]+Мособлдума_партии[[#This Row],[Перекладывание]])/2</f>
        <v>153.24452054794517</v>
      </c>
    </row>
    <row r="59" spans="2:52" x14ac:dyDescent="0.4">
      <c r="B59" t="s">
        <v>74</v>
      </c>
      <c r="C59" t="s">
        <v>366</v>
      </c>
      <c r="D59" t="s">
        <v>138</v>
      </c>
      <c r="E59" t="s">
        <v>187</v>
      </c>
      <c r="F59" s="8">
        <f t="shared" ref="F59:F90" ca="1" si="35">SUMPRODUCT(MID(0&amp;E59, LARGE(INDEX(ISNUMBER(--MID(E59, ROW(INDIRECT("1:"&amp;LEN(E59))), 1)) * ROW(INDIRECT("1:"&amp;LEN(E59))), 0), ROW(INDIRECT("1:"&amp;LEN(E59))))+1, 1) * 10^ROW(INDIRECT("1:"&amp;LEN(E59)))/10)</f>
        <v>3931</v>
      </c>
      <c r="G59" s="8" t="str">
        <f>Дума_партии[[#This Row],[Местоположение]]</f>
        <v>Лесной Городок</v>
      </c>
      <c r="H59" s="2" t="str">
        <f>LEFT(Мособлдума_партии[[#This Row],[tik]],4)&amp;"."&amp;IF(ISNUMBER(VALUE(RIGHT(Мособлдума_партии[[#This Row],[tik]]))),RIGHT(Мособлдума_партии[[#This Row],[tik]]),"")</f>
        <v>Один.</v>
      </c>
      <c r="I59">
        <v>2669</v>
      </c>
      <c r="J59" s="8">
        <f>Мособлдума_партии[[#This Row],[Число избирателей, внесенных в список на момент окончания голосования]]</f>
        <v>2669</v>
      </c>
      <c r="K59">
        <v>2000</v>
      </c>
      <c r="L59" s="1"/>
      <c r="M59">
        <v>883</v>
      </c>
      <c r="N59">
        <v>46</v>
      </c>
      <c r="O59" s="3">
        <f t="shared" ref="O59:O90" si="36">100*(M59+N59)/I59</f>
        <v>34.80704383664294</v>
      </c>
      <c r="P59" s="3">
        <f t="shared" ref="P59:P90" si="37">100*N59/I59</f>
        <v>1.7234919445485199</v>
      </c>
      <c r="Q59">
        <v>1071</v>
      </c>
      <c r="R59">
        <v>46</v>
      </c>
      <c r="S59">
        <v>883</v>
      </c>
      <c r="T59" s="1">
        <f t="shared" ref="T59:T90" si="38">R59+S59</f>
        <v>929</v>
      </c>
      <c r="U59" s="3">
        <f t="shared" ref="U59:U90" si="39">100*R59/T59</f>
        <v>4.9515608180839612</v>
      </c>
      <c r="V59">
        <v>42</v>
      </c>
      <c r="W59" s="3">
        <f t="shared" ref="W59:W90" si="40">100*V59/T59</f>
        <v>4.520990312163617</v>
      </c>
      <c r="X59">
        <v>887</v>
      </c>
      <c r="Y59">
        <v>0</v>
      </c>
      <c r="Z59">
        <v>0</v>
      </c>
      <c r="AA59">
        <v>13</v>
      </c>
      <c r="AB59" s="3">
        <f t="shared" ref="AB59:AB90" si="41">100*AA59/$T59</f>
        <v>1.3993541442411195</v>
      </c>
      <c r="AC59">
        <v>72</v>
      </c>
      <c r="AD59" s="3">
        <f t="shared" ref="AD59:AD90" si="42">100*AC59/$T59</f>
        <v>7.7502691065662006</v>
      </c>
      <c r="AE59">
        <v>84</v>
      </c>
      <c r="AF59" s="3">
        <f t="shared" ref="AF59:AF90" si="43">100*AE59/$T59</f>
        <v>9.041980624327234</v>
      </c>
      <c r="AG59">
        <v>41</v>
      </c>
      <c r="AH59" s="3">
        <f t="shared" ref="AH59:AH90" si="44">100*AG59/$T59</f>
        <v>4.4133476856835303</v>
      </c>
      <c r="AI59">
        <v>222</v>
      </c>
      <c r="AJ59" s="3">
        <f t="shared" ref="AJ59:AJ90" si="45">100*AI59/$T59</f>
        <v>23.896663078579117</v>
      </c>
      <c r="AK59">
        <v>260</v>
      </c>
      <c r="AL59" s="3">
        <f t="shared" ref="AL59:AL90" si="46">100*AK59/$T59</f>
        <v>27.987082884822389</v>
      </c>
      <c r="AM59">
        <v>34</v>
      </c>
      <c r="AN59" s="3">
        <f t="shared" ref="AN59:AN90" si="47">100*AM59/$T59</f>
        <v>3.6598493003229278</v>
      </c>
      <c r="AO59">
        <v>31</v>
      </c>
      <c r="AP59" s="3">
        <f t="shared" ref="AP59:AP90" si="48">100*AO59/$T59</f>
        <v>3.3369214208826694</v>
      </c>
      <c r="AQ59">
        <v>28</v>
      </c>
      <c r="AR59" s="3">
        <f t="shared" ref="AR59:AR90" si="49">100*AQ59/$T59</f>
        <v>3.0139935414424111</v>
      </c>
      <c r="AS59">
        <v>102</v>
      </c>
      <c r="AT59" s="3">
        <f t="shared" ref="AT59:AT90" si="50">100*AS59/$T59</f>
        <v>10.979547900968784</v>
      </c>
      <c r="AU59" t="s">
        <v>368</v>
      </c>
      <c r="AV59" s="72">
        <f>Дума_партии[[#This Row],[КОИБ]]</f>
        <v>2017</v>
      </c>
      <c r="AW59" s="1" t="str">
        <f>IF(Дума_партии[[#This Row],[Наблюдателей]]=0,"",Дума_партии[[#This Row],[Наблюдателей]])</f>
        <v/>
      </c>
      <c r="AX59"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28.095890410958873</v>
      </c>
      <c r="AY59" s="10">
        <f>2*(Мособлдума_партии[[#This Row],[6. Всероссийская политическая партия "ЕДИНАЯ РОССИЯ"]]-(AB$203/100)*Мособлдума_партии[[#This Row],[Число действительных бюллетеней]])</f>
        <v>41.019999999999982</v>
      </c>
      <c r="AZ59" s="10">
        <f>(Мособлдума_партии[[#This Row],[Вброс]]+Мособлдума_партии[[#This Row],[Перекладывание]])/2</f>
        <v>34.557945205479427</v>
      </c>
    </row>
    <row r="60" spans="2:52" x14ac:dyDescent="0.4">
      <c r="B60" t="s">
        <v>74</v>
      </c>
      <c r="C60" t="s">
        <v>366</v>
      </c>
      <c r="D60" t="s">
        <v>138</v>
      </c>
      <c r="E60" t="s">
        <v>188</v>
      </c>
      <c r="F60" s="8">
        <f t="shared" ca="1" si="35"/>
        <v>3932</v>
      </c>
      <c r="G60" s="8" t="str">
        <f>Дума_партии[[#This Row],[Местоположение]]</f>
        <v>пос. ВНИИССОК</v>
      </c>
      <c r="H60" s="2" t="str">
        <f>LEFT(Мособлдума_партии[[#This Row],[tik]],4)&amp;"."&amp;IF(ISNUMBER(VALUE(RIGHT(Мособлдума_партии[[#This Row],[tik]]))),RIGHT(Мособлдума_партии[[#This Row],[tik]]),"")</f>
        <v>Один.</v>
      </c>
      <c r="I60">
        <v>2799</v>
      </c>
      <c r="J60" s="8">
        <f>Мособлдума_партии[[#This Row],[Число избирателей, внесенных в список на момент окончания голосования]]</f>
        <v>2799</v>
      </c>
      <c r="K60">
        <v>2500</v>
      </c>
      <c r="L60" s="1"/>
      <c r="M60">
        <v>673</v>
      </c>
      <c r="N60">
        <v>92</v>
      </c>
      <c r="O60" s="3">
        <f t="shared" si="36"/>
        <v>27.331189710610932</v>
      </c>
      <c r="P60" s="3">
        <f t="shared" si="37"/>
        <v>3.2868881743479816</v>
      </c>
      <c r="Q60">
        <v>1735</v>
      </c>
      <c r="R60">
        <v>92</v>
      </c>
      <c r="S60">
        <v>673</v>
      </c>
      <c r="T60" s="1">
        <f t="shared" si="38"/>
        <v>765</v>
      </c>
      <c r="U60" s="3">
        <f t="shared" si="39"/>
        <v>12.026143790849673</v>
      </c>
      <c r="V60">
        <v>20</v>
      </c>
      <c r="W60" s="3">
        <f t="shared" si="40"/>
        <v>2.6143790849673203</v>
      </c>
      <c r="X60">
        <v>745</v>
      </c>
      <c r="Y60">
        <v>0</v>
      </c>
      <c r="Z60">
        <v>0</v>
      </c>
      <c r="AA60">
        <v>15</v>
      </c>
      <c r="AB60" s="3">
        <f t="shared" si="41"/>
        <v>1.9607843137254901</v>
      </c>
      <c r="AC60">
        <v>44</v>
      </c>
      <c r="AD60" s="3">
        <f t="shared" si="42"/>
        <v>5.7516339869281046</v>
      </c>
      <c r="AE60">
        <v>72</v>
      </c>
      <c r="AF60" s="3">
        <f t="shared" si="43"/>
        <v>9.4117647058823533</v>
      </c>
      <c r="AG60">
        <v>24</v>
      </c>
      <c r="AH60" s="3">
        <f t="shared" si="44"/>
        <v>3.1372549019607843</v>
      </c>
      <c r="AI60">
        <v>145</v>
      </c>
      <c r="AJ60" s="3">
        <f t="shared" si="45"/>
        <v>18.954248366013072</v>
      </c>
      <c r="AK60">
        <v>272</v>
      </c>
      <c r="AL60" s="3">
        <f t="shared" si="46"/>
        <v>35.555555555555557</v>
      </c>
      <c r="AM60">
        <v>25</v>
      </c>
      <c r="AN60" s="3">
        <f t="shared" si="47"/>
        <v>3.2679738562091503</v>
      </c>
      <c r="AO60">
        <v>41</v>
      </c>
      <c r="AP60" s="3">
        <f t="shared" si="48"/>
        <v>5.3594771241830061</v>
      </c>
      <c r="AQ60">
        <v>29</v>
      </c>
      <c r="AR60" s="3">
        <f t="shared" si="49"/>
        <v>3.7908496732026142</v>
      </c>
      <c r="AS60">
        <v>78</v>
      </c>
      <c r="AT60" s="3">
        <f t="shared" si="50"/>
        <v>10.196078431372548</v>
      </c>
      <c r="AU60" t="s">
        <v>368</v>
      </c>
      <c r="AV60" s="72">
        <f>Дума_партии[[#This Row],[КОИБ]]</f>
        <v>2017</v>
      </c>
      <c r="AW60" s="1" t="str">
        <f>IF(Дума_партии[[#This Row],[Наблюдателей]]=0,"",Дума_партии[[#This Row],[Наблюдателей]])</f>
        <v/>
      </c>
      <c r="AX60"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97.054794520547915</v>
      </c>
      <c r="AY60" s="10">
        <f>2*(Мособлдума_партии[[#This Row],[6. Всероссийская политическая партия "ЕДИНАЯ РОССИЯ"]]-(AB$203/100)*Мособлдума_партии[[#This Row],[Число действительных бюллетеней]])</f>
        <v>141.69999999999999</v>
      </c>
      <c r="AZ60" s="10">
        <f>(Мособлдума_партии[[#This Row],[Вброс]]+Мособлдума_партии[[#This Row],[Перекладывание]])/2</f>
        <v>119.37739726027395</v>
      </c>
    </row>
    <row r="61" spans="2:52" x14ac:dyDescent="0.4">
      <c r="B61" t="s">
        <v>74</v>
      </c>
      <c r="C61" t="s">
        <v>366</v>
      </c>
      <c r="D61" t="s">
        <v>138</v>
      </c>
      <c r="E61" t="s">
        <v>189</v>
      </c>
      <c r="F61" s="8">
        <f t="shared" ca="1" si="35"/>
        <v>3933</v>
      </c>
      <c r="G61" s="8" t="str">
        <f>Дума_партии[[#This Row],[Местоположение]]</f>
        <v>пос. ВНИИССОК</v>
      </c>
      <c r="H61" s="2" t="str">
        <f>LEFT(Мособлдума_партии[[#This Row],[tik]],4)&amp;"."&amp;IF(ISNUMBER(VALUE(RIGHT(Мособлдума_партии[[#This Row],[tik]]))),RIGHT(Мособлдума_партии[[#This Row],[tik]]),"")</f>
        <v>Один.</v>
      </c>
      <c r="I61">
        <v>2544</v>
      </c>
      <c r="J61" s="8">
        <f>Мособлдума_партии[[#This Row],[Число избирателей, внесенных в список на момент окончания голосования]]</f>
        <v>2544</v>
      </c>
      <c r="K61">
        <v>2000</v>
      </c>
      <c r="L61" s="1"/>
      <c r="M61">
        <v>836</v>
      </c>
      <c r="N61">
        <v>191</v>
      </c>
      <c r="O61" s="3">
        <f t="shared" si="36"/>
        <v>40.369496855345915</v>
      </c>
      <c r="P61" s="3">
        <f t="shared" si="37"/>
        <v>7.5078616352201255</v>
      </c>
      <c r="Q61">
        <v>973</v>
      </c>
      <c r="R61">
        <v>191</v>
      </c>
      <c r="S61">
        <v>836</v>
      </c>
      <c r="T61" s="1">
        <f t="shared" si="38"/>
        <v>1027</v>
      </c>
      <c r="U61" s="3">
        <f t="shared" si="39"/>
        <v>18.597857838364167</v>
      </c>
      <c r="V61">
        <v>78</v>
      </c>
      <c r="W61" s="3">
        <f t="shared" si="40"/>
        <v>7.5949367088607591</v>
      </c>
      <c r="X61">
        <v>949</v>
      </c>
      <c r="Y61">
        <v>0</v>
      </c>
      <c r="Z61">
        <v>0</v>
      </c>
      <c r="AA61">
        <v>22</v>
      </c>
      <c r="AB61" s="3">
        <f t="shared" si="41"/>
        <v>2.1421616358325219</v>
      </c>
      <c r="AC61">
        <v>97</v>
      </c>
      <c r="AD61" s="3">
        <f t="shared" si="42"/>
        <v>9.4449853943524822</v>
      </c>
      <c r="AE61">
        <v>70</v>
      </c>
      <c r="AF61" s="3">
        <f t="shared" si="43"/>
        <v>6.8159688412852972</v>
      </c>
      <c r="AG61">
        <v>60</v>
      </c>
      <c r="AH61" s="3">
        <f t="shared" si="44"/>
        <v>5.8422590068159685</v>
      </c>
      <c r="AI61">
        <v>221</v>
      </c>
      <c r="AJ61" s="3">
        <f t="shared" si="45"/>
        <v>21.518987341772153</v>
      </c>
      <c r="AK61">
        <v>304</v>
      </c>
      <c r="AL61" s="3">
        <f t="shared" si="46"/>
        <v>29.600778967867576</v>
      </c>
      <c r="AM61">
        <v>17</v>
      </c>
      <c r="AN61" s="3">
        <f t="shared" si="47"/>
        <v>1.6553067185978578</v>
      </c>
      <c r="AO61">
        <v>21</v>
      </c>
      <c r="AP61" s="3">
        <f t="shared" si="48"/>
        <v>2.044790652385589</v>
      </c>
      <c r="AQ61">
        <v>39</v>
      </c>
      <c r="AR61" s="3">
        <f t="shared" si="49"/>
        <v>3.7974683544303796</v>
      </c>
      <c r="AS61">
        <v>98</v>
      </c>
      <c r="AT61" s="3">
        <f t="shared" si="50"/>
        <v>9.5423563777994165</v>
      </c>
      <c r="AU61" t="s">
        <v>368</v>
      </c>
      <c r="AV61" s="72">
        <f>Дума_партии[[#This Row],[КОИБ]]</f>
        <v>2017</v>
      </c>
      <c r="AW61" s="1" t="str">
        <f>IF(Дума_партии[[#This Row],[Наблюдателей]]=0,"",Дума_партии[[#This Row],[Наблюдателей]])</f>
        <v/>
      </c>
      <c r="AX61"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65.438356164383549</v>
      </c>
      <c r="AY61" s="10">
        <f>2*(Мособлдума_партии[[#This Row],[6. Всероссийская политическая партия "ЕДИНАЯ РОССИЯ"]]-(AB$203/100)*Мособлдума_партии[[#This Row],[Число действительных бюллетеней]])</f>
        <v>95.539999999999964</v>
      </c>
      <c r="AZ61" s="10">
        <f>(Мособлдума_партии[[#This Row],[Вброс]]+Мособлдума_партии[[#This Row],[Перекладывание]])/2</f>
        <v>80.489178082191756</v>
      </c>
    </row>
    <row r="62" spans="2:52" x14ac:dyDescent="0.4">
      <c r="B62" t="s">
        <v>74</v>
      </c>
      <c r="C62" t="s">
        <v>366</v>
      </c>
      <c r="D62" t="s">
        <v>138</v>
      </c>
      <c r="E62" t="s">
        <v>190</v>
      </c>
      <c r="F62" s="8">
        <f t="shared" ca="1" si="35"/>
        <v>3936</v>
      </c>
      <c r="G62" s="8" t="str">
        <f>Дума_партии[[#This Row],[Местоположение]]</f>
        <v>пос. ВНИИССОК</v>
      </c>
      <c r="H62" s="2" t="str">
        <f>LEFT(Мособлдума_партии[[#This Row],[tik]],4)&amp;"."&amp;IF(ISNUMBER(VALUE(RIGHT(Мособлдума_партии[[#This Row],[tik]]))),RIGHT(Мособлдума_партии[[#This Row],[tik]]),"")</f>
        <v>Один.</v>
      </c>
      <c r="I62">
        <v>1670</v>
      </c>
      <c r="J62" s="8">
        <f>Мособлдума_партии[[#This Row],[Число избирателей, внесенных в список на момент окончания голосования]]</f>
        <v>1670</v>
      </c>
      <c r="K62">
        <v>1500</v>
      </c>
      <c r="L62" s="1"/>
      <c r="M62">
        <v>602</v>
      </c>
      <c r="N62">
        <v>6</v>
      </c>
      <c r="O62" s="3">
        <f t="shared" si="36"/>
        <v>36.407185628742518</v>
      </c>
      <c r="P62" s="3">
        <f t="shared" si="37"/>
        <v>0.3592814371257485</v>
      </c>
      <c r="Q62">
        <v>892</v>
      </c>
      <c r="R62">
        <v>6</v>
      </c>
      <c r="S62">
        <v>600</v>
      </c>
      <c r="T62" s="1">
        <f t="shared" si="38"/>
        <v>606</v>
      </c>
      <c r="U62" s="3">
        <f t="shared" si="39"/>
        <v>0.99009900990099009</v>
      </c>
      <c r="V62">
        <v>20</v>
      </c>
      <c r="W62" s="3">
        <f t="shared" si="40"/>
        <v>3.3003300330033003</v>
      </c>
      <c r="X62">
        <v>586</v>
      </c>
      <c r="Y62">
        <v>0</v>
      </c>
      <c r="Z62">
        <v>0</v>
      </c>
      <c r="AA62">
        <v>3</v>
      </c>
      <c r="AB62" s="3">
        <f t="shared" si="41"/>
        <v>0.49504950495049505</v>
      </c>
      <c r="AC62">
        <v>43</v>
      </c>
      <c r="AD62" s="3">
        <f t="shared" si="42"/>
        <v>7.0957095709570961</v>
      </c>
      <c r="AE62">
        <v>53</v>
      </c>
      <c r="AF62" s="3">
        <f t="shared" si="43"/>
        <v>8.7458745874587454</v>
      </c>
      <c r="AG62">
        <v>30</v>
      </c>
      <c r="AH62" s="3">
        <f t="shared" si="44"/>
        <v>4.9504950495049505</v>
      </c>
      <c r="AI62">
        <v>181</v>
      </c>
      <c r="AJ62" s="3">
        <f t="shared" si="45"/>
        <v>29.867986798679869</v>
      </c>
      <c r="AK62">
        <v>168</v>
      </c>
      <c r="AL62" s="3">
        <f t="shared" si="46"/>
        <v>27.722772277227723</v>
      </c>
      <c r="AM62">
        <v>23</v>
      </c>
      <c r="AN62" s="3">
        <f t="shared" si="47"/>
        <v>3.7953795379537953</v>
      </c>
      <c r="AO62">
        <v>19</v>
      </c>
      <c r="AP62" s="3">
        <f t="shared" si="48"/>
        <v>3.1353135313531353</v>
      </c>
      <c r="AQ62">
        <v>4</v>
      </c>
      <c r="AR62" s="3">
        <f t="shared" si="49"/>
        <v>0.66006600660066006</v>
      </c>
      <c r="AS62">
        <v>62</v>
      </c>
      <c r="AT62" s="3">
        <f t="shared" si="50"/>
        <v>10.231023102310232</v>
      </c>
      <c r="AU62" t="s">
        <v>368</v>
      </c>
      <c r="AV62" s="72" t="str">
        <f>Дума_партии[[#This Row],[КОИБ]]</f>
        <v>N</v>
      </c>
      <c r="AW62" s="1" t="str">
        <f>IF(Дума_партии[[#This Row],[Наблюдателей]]=0,"",Дума_партии[[#This Row],[Наблюдателей]])</f>
        <v/>
      </c>
      <c r="AX62"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13.397260273972591</v>
      </c>
      <c r="AY62" s="10">
        <f>2*(Мособлдума_партии[[#This Row],[6. Всероссийская политическая партия "ЕДИНАЯ РОССИЯ"]]-(AB$203/100)*Мособлдума_партии[[#This Row],[Число действительных бюллетеней]])</f>
        <v>19.560000000000002</v>
      </c>
      <c r="AZ62" s="10">
        <f>(Мособлдума_партии[[#This Row],[Вброс]]+Мособлдума_партии[[#This Row],[Перекладывание]])/2</f>
        <v>16.478630136986297</v>
      </c>
    </row>
    <row r="63" spans="2:52" x14ac:dyDescent="0.4">
      <c r="B63" t="s">
        <v>74</v>
      </c>
      <c r="C63" t="s">
        <v>366</v>
      </c>
      <c r="D63" t="s">
        <v>138</v>
      </c>
      <c r="E63" t="s">
        <v>191</v>
      </c>
      <c r="F63" s="8">
        <f t="shared" ca="1" si="35"/>
        <v>3938</v>
      </c>
      <c r="G63" s="8" t="str">
        <f>Дума_партии[[#This Row],[Местоположение]]</f>
        <v>пос. ВНИИССОК</v>
      </c>
      <c r="H63" s="2" t="str">
        <f>LEFT(Мособлдума_партии[[#This Row],[tik]],4)&amp;"."&amp;IF(ISNUMBER(VALUE(RIGHT(Мособлдума_партии[[#This Row],[tik]]))),RIGHT(Мособлдума_партии[[#This Row],[tik]]),"")</f>
        <v>Один.</v>
      </c>
      <c r="I63">
        <v>1891</v>
      </c>
      <c r="J63" s="8">
        <f>Мособлдума_партии[[#This Row],[Число избирателей, внесенных в список на момент окончания голосования]]</f>
        <v>1891</v>
      </c>
      <c r="K63">
        <v>1500</v>
      </c>
      <c r="L63" s="1"/>
      <c r="M63">
        <v>777</v>
      </c>
      <c r="N63">
        <v>52</v>
      </c>
      <c r="O63" s="3">
        <f t="shared" si="36"/>
        <v>43.839238498149129</v>
      </c>
      <c r="P63" s="3">
        <f t="shared" si="37"/>
        <v>2.7498677948175567</v>
      </c>
      <c r="Q63">
        <v>671</v>
      </c>
      <c r="R63">
        <v>52</v>
      </c>
      <c r="S63">
        <v>777</v>
      </c>
      <c r="T63" s="1">
        <f t="shared" si="38"/>
        <v>829</v>
      </c>
      <c r="U63" s="3">
        <f t="shared" si="39"/>
        <v>6.272617611580217</v>
      </c>
      <c r="V63">
        <v>14</v>
      </c>
      <c r="W63" s="3">
        <f t="shared" si="40"/>
        <v>1.6887816646562124</v>
      </c>
      <c r="X63">
        <v>815</v>
      </c>
      <c r="Y63">
        <v>0</v>
      </c>
      <c r="Z63">
        <v>0</v>
      </c>
      <c r="AA63">
        <v>6</v>
      </c>
      <c r="AB63" s="3">
        <f t="shared" si="41"/>
        <v>0.72376357056694818</v>
      </c>
      <c r="AC63">
        <v>53</v>
      </c>
      <c r="AD63" s="3">
        <f t="shared" si="42"/>
        <v>6.3932448733413754</v>
      </c>
      <c r="AE63">
        <v>47</v>
      </c>
      <c r="AF63" s="3">
        <f t="shared" si="43"/>
        <v>5.6694813027744271</v>
      </c>
      <c r="AG63">
        <v>18</v>
      </c>
      <c r="AH63" s="3">
        <f t="shared" si="44"/>
        <v>2.1712907117008444</v>
      </c>
      <c r="AI63">
        <v>127</v>
      </c>
      <c r="AJ63" s="3">
        <f t="shared" si="45"/>
        <v>15.319662243667068</v>
      </c>
      <c r="AK63">
        <v>443</v>
      </c>
      <c r="AL63" s="3">
        <f t="shared" si="46"/>
        <v>53.437876960193002</v>
      </c>
      <c r="AM63">
        <v>25</v>
      </c>
      <c r="AN63" s="3">
        <f t="shared" si="47"/>
        <v>3.0156815440289506</v>
      </c>
      <c r="AO63">
        <v>13</v>
      </c>
      <c r="AP63" s="3">
        <f t="shared" si="48"/>
        <v>1.5681544028950543</v>
      </c>
      <c r="AQ63">
        <v>17</v>
      </c>
      <c r="AR63" s="3">
        <f t="shared" si="49"/>
        <v>2.0506634499396865</v>
      </c>
      <c r="AS63">
        <v>66</v>
      </c>
      <c r="AT63" s="3">
        <f t="shared" si="50"/>
        <v>7.9613992762364294</v>
      </c>
      <c r="AU63" t="s">
        <v>368</v>
      </c>
      <c r="AV63" s="72" t="str">
        <f>Дума_партии[[#This Row],[КОИБ]]</f>
        <v>N</v>
      </c>
      <c r="AW63" s="1" t="str">
        <f>IF(Дума_партии[[#This Row],[Наблюдателей]]=0,"",Дума_партии[[#This Row],[Наблюдателей]])</f>
        <v/>
      </c>
      <c r="AX63"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305.41095890410958</v>
      </c>
      <c r="AY63" s="10">
        <f>2*(Мособлдума_партии[[#This Row],[6. Всероссийская политическая партия "ЕДИНАЯ РОССИЯ"]]-(AB$203/100)*Мособлдума_партии[[#This Row],[Число действительных бюллетеней]])</f>
        <v>445.9</v>
      </c>
      <c r="AZ63" s="10">
        <f>(Мособлдума_партии[[#This Row],[Вброс]]+Мособлдума_партии[[#This Row],[Перекладывание]])/2</f>
        <v>375.65547945205481</v>
      </c>
    </row>
    <row r="64" spans="2:52" x14ac:dyDescent="0.4">
      <c r="B64" t="s">
        <v>74</v>
      </c>
      <c r="C64" t="s">
        <v>366</v>
      </c>
      <c r="D64" t="s">
        <v>138</v>
      </c>
      <c r="E64" t="s">
        <v>192</v>
      </c>
      <c r="F64" s="8">
        <f t="shared" ca="1" si="35"/>
        <v>3939</v>
      </c>
      <c r="G64" s="8" t="str">
        <f>Дума_партии[[#This Row],[Местоположение]]</f>
        <v>пос. ВНИИССОК</v>
      </c>
      <c r="H64" s="2" t="str">
        <f>LEFT(Мособлдума_партии[[#This Row],[tik]],4)&amp;"."&amp;IF(ISNUMBER(VALUE(RIGHT(Мособлдума_партии[[#This Row],[tik]]))),RIGHT(Мособлдума_партии[[#This Row],[tik]]),"")</f>
        <v>Один.</v>
      </c>
      <c r="I64">
        <v>1984</v>
      </c>
      <c r="J64" s="8">
        <f>Мособлдума_партии[[#This Row],[Число избирателей, внесенных в список на момент окончания голосования]]</f>
        <v>1984</v>
      </c>
      <c r="K64">
        <v>1500</v>
      </c>
      <c r="L64" s="1"/>
      <c r="M64">
        <v>517</v>
      </c>
      <c r="N64">
        <v>7</v>
      </c>
      <c r="O64" s="3">
        <f t="shared" si="36"/>
        <v>26.411290322580644</v>
      </c>
      <c r="P64" s="3">
        <f t="shared" si="37"/>
        <v>0.35282258064516131</v>
      </c>
      <c r="Q64">
        <v>976</v>
      </c>
      <c r="R64">
        <v>7</v>
      </c>
      <c r="S64">
        <v>517</v>
      </c>
      <c r="T64" s="1">
        <f t="shared" si="38"/>
        <v>524</v>
      </c>
      <c r="U64" s="3">
        <f t="shared" si="39"/>
        <v>1.3358778625954197</v>
      </c>
      <c r="V64">
        <v>16</v>
      </c>
      <c r="W64" s="3">
        <f t="shared" si="40"/>
        <v>3.053435114503817</v>
      </c>
      <c r="X64">
        <v>508</v>
      </c>
      <c r="Y64">
        <v>0</v>
      </c>
      <c r="Z64">
        <v>0</v>
      </c>
      <c r="AA64">
        <v>14</v>
      </c>
      <c r="AB64" s="3">
        <f t="shared" si="41"/>
        <v>2.6717557251908395</v>
      </c>
      <c r="AC64">
        <v>42</v>
      </c>
      <c r="AD64" s="3">
        <f t="shared" si="42"/>
        <v>8.0152671755725198</v>
      </c>
      <c r="AE64">
        <v>56</v>
      </c>
      <c r="AF64" s="3">
        <f t="shared" si="43"/>
        <v>10.687022900763358</v>
      </c>
      <c r="AG64">
        <v>26</v>
      </c>
      <c r="AH64" s="3">
        <f t="shared" si="44"/>
        <v>4.9618320610687023</v>
      </c>
      <c r="AI64">
        <v>138</v>
      </c>
      <c r="AJ64" s="3">
        <f t="shared" si="45"/>
        <v>26.335877862595421</v>
      </c>
      <c r="AK64">
        <v>121</v>
      </c>
      <c r="AL64" s="3">
        <f t="shared" si="46"/>
        <v>23.091603053435115</v>
      </c>
      <c r="AM64">
        <v>20</v>
      </c>
      <c r="AN64" s="3">
        <f t="shared" si="47"/>
        <v>3.8167938931297711</v>
      </c>
      <c r="AO64">
        <v>11</v>
      </c>
      <c r="AP64" s="3">
        <f t="shared" si="48"/>
        <v>2.0992366412213741</v>
      </c>
      <c r="AQ64">
        <v>14</v>
      </c>
      <c r="AR64" s="3">
        <f t="shared" si="49"/>
        <v>2.6717557251908395</v>
      </c>
      <c r="AS64">
        <v>66</v>
      </c>
      <c r="AT64" s="3">
        <f t="shared" si="50"/>
        <v>12.595419847328245</v>
      </c>
      <c r="AU64" t="s">
        <v>368</v>
      </c>
      <c r="AV64" s="72">
        <f>Дума_партии[[#This Row],[КОИБ]]</f>
        <v>2017</v>
      </c>
      <c r="AW64" s="1" t="str">
        <f>IF(Дума_партии[[#This Row],[Наблюдателей]]=0,"",Дума_партии[[#This Row],[Наблюдателей]])</f>
        <v/>
      </c>
      <c r="AX64"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-22.136986301369888</v>
      </c>
      <c r="AY64" s="10">
        <f>2*(Мособлдума_партии[[#This Row],[6. Всероссийская политическая партия "ЕДИНАЯ РОССИЯ"]]-(AB$203/100)*Мособлдума_партии[[#This Row],[Число действительных бюллетеней]])</f>
        <v>-32.319999999999993</v>
      </c>
      <c r="AZ64" s="10">
        <f>(Мособлдума_партии[[#This Row],[Вброс]]+Мособлдума_партии[[#This Row],[Перекладывание]])/2</f>
        <v>-27.22849315068494</v>
      </c>
    </row>
    <row r="65" spans="2:52" x14ac:dyDescent="0.4">
      <c r="B65" t="s">
        <v>74</v>
      </c>
      <c r="C65" t="s">
        <v>366</v>
      </c>
      <c r="D65" t="s">
        <v>138</v>
      </c>
      <c r="E65" t="s">
        <v>193</v>
      </c>
      <c r="F65" s="8">
        <f t="shared" ca="1" si="35"/>
        <v>3945</v>
      </c>
      <c r="G65" s="8" t="str">
        <f>Дума_партии[[#This Row],[Местоположение]]</f>
        <v>Жуковка</v>
      </c>
      <c r="H65" s="2" t="str">
        <f>LEFT(Мособлдума_партии[[#This Row],[tik]],4)&amp;"."&amp;IF(ISNUMBER(VALUE(RIGHT(Мособлдума_партии[[#This Row],[tik]]))),RIGHT(Мособлдума_партии[[#This Row],[tik]]),"")</f>
        <v>Один.</v>
      </c>
      <c r="I65">
        <v>628</v>
      </c>
      <c r="J65" s="8">
        <f>Мособлдума_партии[[#This Row],[Число избирателей, внесенных в список на момент окончания голосования]]</f>
        <v>628</v>
      </c>
      <c r="K65">
        <v>500</v>
      </c>
      <c r="L65" s="1"/>
      <c r="M65">
        <v>134</v>
      </c>
      <c r="N65">
        <v>32</v>
      </c>
      <c r="O65" s="3">
        <f t="shared" si="36"/>
        <v>26.433121019108281</v>
      </c>
      <c r="P65" s="3">
        <f t="shared" si="37"/>
        <v>5.0955414012738851</v>
      </c>
      <c r="Q65">
        <v>334</v>
      </c>
      <c r="R65">
        <v>32</v>
      </c>
      <c r="S65">
        <v>134</v>
      </c>
      <c r="T65" s="1">
        <f t="shared" si="38"/>
        <v>166</v>
      </c>
      <c r="U65" s="3">
        <f t="shared" si="39"/>
        <v>19.277108433734941</v>
      </c>
      <c r="V65">
        <v>8</v>
      </c>
      <c r="W65" s="3">
        <f t="shared" si="40"/>
        <v>4.8192771084337354</v>
      </c>
      <c r="X65">
        <v>158</v>
      </c>
      <c r="Y65">
        <v>0</v>
      </c>
      <c r="Z65">
        <v>0</v>
      </c>
      <c r="AA65">
        <v>0</v>
      </c>
      <c r="AB65" s="3">
        <f t="shared" si="41"/>
        <v>0</v>
      </c>
      <c r="AC65">
        <v>13</v>
      </c>
      <c r="AD65" s="3">
        <f t="shared" si="42"/>
        <v>7.831325301204819</v>
      </c>
      <c r="AE65">
        <v>11</v>
      </c>
      <c r="AF65" s="3">
        <f t="shared" si="43"/>
        <v>6.6265060240963853</v>
      </c>
      <c r="AG65">
        <v>11</v>
      </c>
      <c r="AH65" s="3">
        <f t="shared" si="44"/>
        <v>6.6265060240963853</v>
      </c>
      <c r="AI65">
        <v>40</v>
      </c>
      <c r="AJ65" s="3">
        <f t="shared" si="45"/>
        <v>24.096385542168676</v>
      </c>
      <c r="AK65">
        <v>47</v>
      </c>
      <c r="AL65" s="3">
        <f t="shared" si="46"/>
        <v>28.313253012048193</v>
      </c>
      <c r="AM65">
        <v>4</v>
      </c>
      <c r="AN65" s="3">
        <f t="shared" si="47"/>
        <v>2.4096385542168677</v>
      </c>
      <c r="AO65">
        <v>6</v>
      </c>
      <c r="AP65" s="3">
        <f t="shared" si="48"/>
        <v>3.6144578313253013</v>
      </c>
      <c r="AQ65">
        <v>7</v>
      </c>
      <c r="AR65" s="3">
        <f t="shared" si="49"/>
        <v>4.2168674698795181</v>
      </c>
      <c r="AS65">
        <v>19</v>
      </c>
      <c r="AT65" s="3">
        <f t="shared" si="50"/>
        <v>11.445783132530121</v>
      </c>
      <c r="AU65" t="s">
        <v>368</v>
      </c>
      <c r="AV65" s="72">
        <f>Дума_партии[[#This Row],[КОИБ]]</f>
        <v>2017</v>
      </c>
      <c r="AW65" s="1">
        <f>IF(Дума_партии[[#This Row],[Наблюдателей]]=0,"",Дума_партии[[#This Row],[Наблюдателей]])</f>
        <v>2</v>
      </c>
      <c r="AX65"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5.9452054794520492</v>
      </c>
      <c r="AY65" s="10">
        <f>2*(Мособлдума_партии[[#This Row],[6. Всероссийская политическая партия "ЕДИНАЯ РОССИЯ"]]-(AB$203/100)*Мособлдума_партии[[#This Row],[Число действительных бюллетеней]])</f>
        <v>8.6799999999999926</v>
      </c>
      <c r="AZ65" s="10">
        <f>(Мособлдума_партии[[#This Row],[Вброс]]+Мособлдума_партии[[#This Row],[Перекладывание]])/2</f>
        <v>7.3126027397260209</v>
      </c>
    </row>
    <row r="66" spans="2:52" x14ac:dyDescent="0.4">
      <c r="B66" t="s">
        <v>74</v>
      </c>
      <c r="C66" t="s">
        <v>366</v>
      </c>
      <c r="D66" t="s">
        <v>138</v>
      </c>
      <c r="E66" t="s">
        <v>194</v>
      </c>
      <c r="F66" s="8">
        <f t="shared" ca="1" si="35"/>
        <v>3949</v>
      </c>
      <c r="G66" s="8" t="str">
        <f>Дума_партии[[#This Row],[Местоположение]]</f>
        <v>Дом отдыха «Огарёво»</v>
      </c>
      <c r="H66" s="2" t="str">
        <f>LEFT(Мособлдума_партии[[#This Row],[tik]],4)&amp;"."&amp;IF(ISNUMBER(VALUE(RIGHT(Мособлдума_партии[[#This Row],[tik]]))),RIGHT(Мособлдума_партии[[#This Row],[tik]]),"")</f>
        <v>Один.</v>
      </c>
      <c r="I66">
        <v>1469</v>
      </c>
      <c r="J66" s="8">
        <f>Мособлдума_партии[[#This Row],[Число избирателей, внесенных в список на момент окончания голосования]]</f>
        <v>1469</v>
      </c>
      <c r="K66">
        <v>1300</v>
      </c>
      <c r="L66" s="1"/>
      <c r="M66">
        <v>407</v>
      </c>
      <c r="N66">
        <v>25</v>
      </c>
      <c r="O66" s="3">
        <f t="shared" si="36"/>
        <v>29.407760381211709</v>
      </c>
      <c r="P66" s="3">
        <f t="shared" si="37"/>
        <v>1.7018379850238257</v>
      </c>
      <c r="Q66">
        <v>868</v>
      </c>
      <c r="R66">
        <v>25</v>
      </c>
      <c r="S66">
        <v>407</v>
      </c>
      <c r="T66" s="1">
        <f t="shared" si="38"/>
        <v>432</v>
      </c>
      <c r="U66" s="3">
        <f t="shared" si="39"/>
        <v>5.7870370370370372</v>
      </c>
      <c r="V66">
        <v>20</v>
      </c>
      <c r="W66" s="3">
        <f t="shared" si="40"/>
        <v>4.6296296296296298</v>
      </c>
      <c r="X66">
        <v>412</v>
      </c>
      <c r="Y66">
        <v>0</v>
      </c>
      <c r="Z66">
        <v>0</v>
      </c>
      <c r="AA66">
        <v>7</v>
      </c>
      <c r="AB66" s="3">
        <f t="shared" si="41"/>
        <v>1.6203703703703705</v>
      </c>
      <c r="AC66">
        <v>30</v>
      </c>
      <c r="AD66" s="3">
        <f t="shared" si="42"/>
        <v>6.9444444444444446</v>
      </c>
      <c r="AE66">
        <v>28</v>
      </c>
      <c r="AF66" s="3">
        <f t="shared" si="43"/>
        <v>6.4814814814814818</v>
      </c>
      <c r="AG66">
        <v>30</v>
      </c>
      <c r="AH66" s="3">
        <f t="shared" si="44"/>
        <v>6.9444444444444446</v>
      </c>
      <c r="AI66">
        <v>116</v>
      </c>
      <c r="AJ66" s="3">
        <f t="shared" si="45"/>
        <v>26.851851851851851</v>
      </c>
      <c r="AK66">
        <v>113</v>
      </c>
      <c r="AL66" s="3">
        <f t="shared" si="46"/>
        <v>26.157407407407408</v>
      </c>
      <c r="AM66">
        <v>8</v>
      </c>
      <c r="AN66" s="3">
        <f t="shared" si="47"/>
        <v>1.8518518518518519</v>
      </c>
      <c r="AO66">
        <v>13</v>
      </c>
      <c r="AP66" s="3">
        <f t="shared" si="48"/>
        <v>3.0092592592592591</v>
      </c>
      <c r="AQ66">
        <v>24</v>
      </c>
      <c r="AR66" s="3">
        <f t="shared" si="49"/>
        <v>5.5555555555555554</v>
      </c>
      <c r="AS66">
        <v>43</v>
      </c>
      <c r="AT66" s="3">
        <f t="shared" si="50"/>
        <v>9.9537037037037042</v>
      </c>
      <c r="AU66" t="s">
        <v>368</v>
      </c>
      <c r="AV66" s="72">
        <f>Дума_партии[[#This Row],[КОИБ]]</f>
        <v>2017</v>
      </c>
      <c r="AW66" s="1">
        <f>IF(Дума_партии[[#This Row],[Наблюдателей]]=0,"",Дума_партии[[#This Row],[Наблюдателей]])</f>
        <v>5</v>
      </c>
      <c r="AX66"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2.4109589041095774</v>
      </c>
      <c r="AY66" s="10">
        <f>2*(Мособлдума_партии[[#This Row],[6. Всероссийская политическая партия "ЕДИНАЯ РОССИЯ"]]-(AB$203/100)*Мособлдума_партии[[#This Row],[Число действительных бюллетеней]])</f>
        <v>3.5199999999999818</v>
      </c>
      <c r="AZ66" s="10">
        <f>(Мособлдума_партии[[#This Row],[Вброс]]+Мособлдума_партии[[#This Row],[Перекладывание]])/2</f>
        <v>2.9654794520547796</v>
      </c>
    </row>
    <row r="67" spans="2:52" x14ac:dyDescent="0.4">
      <c r="B67" t="s">
        <v>74</v>
      </c>
      <c r="C67" t="s">
        <v>366</v>
      </c>
      <c r="D67" t="s">
        <v>138</v>
      </c>
      <c r="E67" t="s">
        <v>195</v>
      </c>
      <c r="F67" s="8">
        <f t="shared" ca="1" si="35"/>
        <v>3950</v>
      </c>
      <c r="G67" s="8" t="str">
        <f>Дума_партии[[#This Row],[Местоположение]]</f>
        <v>Ершово</v>
      </c>
      <c r="H67" s="2" t="str">
        <f>LEFT(Мособлдума_партии[[#This Row],[tik]],4)&amp;"."&amp;IF(ISNUMBER(VALUE(RIGHT(Мособлдума_партии[[#This Row],[tik]]))),RIGHT(Мособлдума_партии[[#This Row],[tik]]),"")</f>
        <v>Один.</v>
      </c>
      <c r="I67">
        <v>2564</v>
      </c>
      <c r="J67" s="8">
        <f>Мособлдума_партии[[#This Row],[Число избирателей, внесенных в список на момент окончания голосования]]</f>
        <v>2564</v>
      </c>
      <c r="K67">
        <v>2000</v>
      </c>
      <c r="L67" s="1"/>
      <c r="M67">
        <v>1250</v>
      </c>
      <c r="N67">
        <v>191</v>
      </c>
      <c r="O67" s="3">
        <f t="shared" si="36"/>
        <v>56.201248049922</v>
      </c>
      <c r="P67" s="3">
        <f t="shared" si="37"/>
        <v>7.4492979719188765</v>
      </c>
      <c r="Q67">
        <v>559</v>
      </c>
      <c r="R67">
        <v>191</v>
      </c>
      <c r="S67">
        <v>1250</v>
      </c>
      <c r="T67" s="1">
        <f t="shared" si="38"/>
        <v>1441</v>
      </c>
      <c r="U67" s="3">
        <f t="shared" si="39"/>
        <v>13.25468424705066</v>
      </c>
      <c r="V67">
        <v>69</v>
      </c>
      <c r="W67" s="3">
        <f t="shared" si="40"/>
        <v>4.788341429562804</v>
      </c>
      <c r="X67">
        <v>1372</v>
      </c>
      <c r="Y67">
        <v>0</v>
      </c>
      <c r="Z67">
        <v>0</v>
      </c>
      <c r="AA67">
        <v>18</v>
      </c>
      <c r="AB67" s="3">
        <f t="shared" si="41"/>
        <v>1.2491325468424705</v>
      </c>
      <c r="AC67">
        <v>121</v>
      </c>
      <c r="AD67" s="3">
        <f t="shared" si="42"/>
        <v>8.3969465648854964</v>
      </c>
      <c r="AE67">
        <v>53</v>
      </c>
      <c r="AF67" s="3">
        <f t="shared" si="43"/>
        <v>3.6780013879250522</v>
      </c>
      <c r="AG67">
        <v>58</v>
      </c>
      <c r="AH67" s="3">
        <f t="shared" si="44"/>
        <v>4.0249826509368498</v>
      </c>
      <c r="AI67">
        <v>308</v>
      </c>
      <c r="AJ67" s="3">
        <f t="shared" si="45"/>
        <v>21.374045801526716</v>
      </c>
      <c r="AK67">
        <v>647</v>
      </c>
      <c r="AL67" s="3">
        <f t="shared" si="46"/>
        <v>44.899375433726576</v>
      </c>
      <c r="AM67">
        <v>22</v>
      </c>
      <c r="AN67" s="3">
        <f t="shared" si="47"/>
        <v>1.5267175572519085</v>
      </c>
      <c r="AO67">
        <v>27</v>
      </c>
      <c r="AP67" s="3">
        <f t="shared" si="48"/>
        <v>1.8736988202637057</v>
      </c>
      <c r="AQ67">
        <v>37</v>
      </c>
      <c r="AR67" s="3">
        <f t="shared" si="49"/>
        <v>2.5676613462873004</v>
      </c>
      <c r="AS67">
        <v>81</v>
      </c>
      <c r="AT67" s="3">
        <f t="shared" si="50"/>
        <v>5.6210964607911169</v>
      </c>
      <c r="AU67" t="s">
        <v>368</v>
      </c>
      <c r="AV67" s="72" t="str">
        <f>Дума_партии[[#This Row],[КОИБ]]</f>
        <v>N</v>
      </c>
      <c r="AW67" s="1" t="str">
        <f>IF(Дума_партии[[#This Row],[Наблюдателей]]=0,"",Дума_партии[[#This Row],[Наблюдателей]])</f>
        <v/>
      </c>
      <c r="AX67"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378.84931506849313</v>
      </c>
      <c r="AY67" s="10">
        <f>2*(Мособлдума_партии[[#This Row],[6. Всероссийская политическая партия "ЕДИНАЯ РОССИЯ"]]-(AB$203/100)*Мособлдума_партии[[#This Row],[Число действительных бюллетеней]])</f>
        <v>553.12</v>
      </c>
      <c r="AZ67" s="10">
        <f>(Мособлдума_партии[[#This Row],[Вброс]]+Мособлдума_партии[[#This Row],[Перекладывание]])/2</f>
        <v>465.98465753424659</v>
      </c>
    </row>
    <row r="68" spans="2:52" x14ac:dyDescent="0.4">
      <c r="B68" t="s">
        <v>74</v>
      </c>
      <c r="C68" t="s">
        <v>366</v>
      </c>
      <c r="D68" t="s">
        <v>138</v>
      </c>
      <c r="E68" t="s">
        <v>196</v>
      </c>
      <c r="F68" s="8">
        <f t="shared" ca="1" si="35"/>
        <v>3952</v>
      </c>
      <c r="G68" s="8" t="str">
        <f>Дума_партии[[#This Row],[Местоположение]]</f>
        <v>военный городок №32</v>
      </c>
      <c r="H68" s="2" t="str">
        <f>LEFT(Мособлдума_партии[[#This Row],[tik]],4)&amp;"."&amp;IF(ISNUMBER(VALUE(RIGHT(Мособлдума_партии[[#This Row],[tik]]))),RIGHT(Мособлдума_партии[[#This Row],[tik]]),"")</f>
        <v>Один.</v>
      </c>
      <c r="I68">
        <v>711</v>
      </c>
      <c r="J68" s="8">
        <f>Мособлдума_партии[[#This Row],[Число избирателей, внесенных в список на момент окончания голосования]]</f>
        <v>711</v>
      </c>
      <c r="K68">
        <v>700</v>
      </c>
      <c r="L68" s="1"/>
      <c r="M68">
        <v>393</v>
      </c>
      <c r="N68">
        <v>68</v>
      </c>
      <c r="O68" s="3">
        <f t="shared" si="36"/>
        <v>64.838255977496488</v>
      </c>
      <c r="P68" s="3">
        <f t="shared" si="37"/>
        <v>9.5639943741209557</v>
      </c>
      <c r="Q68">
        <v>239</v>
      </c>
      <c r="R68">
        <v>68</v>
      </c>
      <c r="S68">
        <v>393</v>
      </c>
      <c r="T68" s="1">
        <f t="shared" si="38"/>
        <v>461</v>
      </c>
      <c r="U68" s="3">
        <f t="shared" si="39"/>
        <v>14.750542299349242</v>
      </c>
      <c r="V68">
        <v>23</v>
      </c>
      <c r="W68" s="3">
        <f t="shared" si="40"/>
        <v>4.9891540130151846</v>
      </c>
      <c r="X68">
        <v>438</v>
      </c>
      <c r="Y68">
        <v>0</v>
      </c>
      <c r="Z68">
        <v>0</v>
      </c>
      <c r="AA68">
        <v>10</v>
      </c>
      <c r="AB68" s="3">
        <f t="shared" si="41"/>
        <v>2.1691973969631237</v>
      </c>
      <c r="AC68">
        <v>49</v>
      </c>
      <c r="AD68" s="3">
        <f t="shared" si="42"/>
        <v>10.629067245119305</v>
      </c>
      <c r="AE68">
        <v>20</v>
      </c>
      <c r="AF68" s="3">
        <f t="shared" si="43"/>
        <v>4.3383947939262475</v>
      </c>
      <c r="AG68">
        <v>32</v>
      </c>
      <c r="AH68" s="3">
        <f t="shared" si="44"/>
        <v>6.9414316702819958</v>
      </c>
      <c r="AI68">
        <v>87</v>
      </c>
      <c r="AJ68" s="3">
        <f t="shared" si="45"/>
        <v>18.872017353579174</v>
      </c>
      <c r="AK68">
        <v>179</v>
      </c>
      <c r="AL68" s="3">
        <f t="shared" si="46"/>
        <v>38.828633405639913</v>
      </c>
      <c r="AM68">
        <v>14</v>
      </c>
      <c r="AN68" s="3">
        <f t="shared" si="47"/>
        <v>3.0368763557483729</v>
      </c>
      <c r="AO68">
        <v>7</v>
      </c>
      <c r="AP68" s="3">
        <f t="shared" si="48"/>
        <v>1.5184381778741864</v>
      </c>
      <c r="AQ68">
        <v>13</v>
      </c>
      <c r="AR68" s="3">
        <f t="shared" si="49"/>
        <v>2.8199566160520608</v>
      </c>
      <c r="AS68">
        <v>27</v>
      </c>
      <c r="AT68" s="3">
        <f t="shared" si="50"/>
        <v>5.8568329718004337</v>
      </c>
      <c r="AU68" t="s">
        <v>368</v>
      </c>
      <c r="AV68" s="72">
        <f>Дума_партии[[#This Row],[КОИБ]]</f>
        <v>2017</v>
      </c>
      <c r="AW68" s="1" t="str">
        <f>IF(Дума_партии[[#This Row],[Наблюдателей]]=0,"",Дума_партии[[#This Row],[Наблюдателей]])</f>
        <v/>
      </c>
      <c r="AX68"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83.205479452054789</v>
      </c>
      <c r="AY68" s="10">
        <f>2*(Мособлдума_партии[[#This Row],[6. Всероссийская политическая партия "ЕДИНАЯ РОССИЯ"]]-(AB$203/100)*Мособлдума_партии[[#This Row],[Число действительных бюллетеней]])</f>
        <v>121.47999999999999</v>
      </c>
      <c r="AZ68" s="10">
        <f>(Мособлдума_партии[[#This Row],[Вброс]]+Мособлдума_партии[[#This Row],[Перекладывание]])/2</f>
        <v>102.34273972602739</v>
      </c>
    </row>
    <row r="69" spans="2:52" x14ac:dyDescent="0.4">
      <c r="B69" t="s">
        <v>74</v>
      </c>
      <c r="C69" t="s">
        <v>366</v>
      </c>
      <c r="D69" t="s">
        <v>138</v>
      </c>
      <c r="E69" t="s">
        <v>197</v>
      </c>
      <c r="F69" s="8">
        <f t="shared" ca="1" si="35"/>
        <v>3953</v>
      </c>
      <c r="G69" s="8" t="str">
        <f>Дума_партии[[#This Row],[Местоположение]]</f>
        <v>Ивановка</v>
      </c>
      <c r="H69" s="2" t="str">
        <f>LEFT(Мособлдума_партии[[#This Row],[tik]],4)&amp;"."&amp;IF(ISNUMBER(VALUE(RIGHT(Мособлдума_партии[[#This Row],[tik]]))),RIGHT(Мособлдума_партии[[#This Row],[tik]]),"")</f>
        <v>Один.</v>
      </c>
      <c r="I69">
        <v>676</v>
      </c>
      <c r="J69" s="8">
        <f>Мособлдума_партии[[#This Row],[Число избирателей, внесенных в список на момент окончания голосования]]</f>
        <v>676</v>
      </c>
      <c r="K69">
        <v>600</v>
      </c>
      <c r="L69" s="1"/>
      <c r="M69">
        <v>202</v>
      </c>
      <c r="N69">
        <v>143</v>
      </c>
      <c r="O69" s="3">
        <f t="shared" si="36"/>
        <v>51.035502958579883</v>
      </c>
      <c r="P69" s="3">
        <f t="shared" si="37"/>
        <v>21.153846153846153</v>
      </c>
      <c r="Q69">
        <v>255</v>
      </c>
      <c r="R69">
        <v>143</v>
      </c>
      <c r="S69">
        <v>202</v>
      </c>
      <c r="T69" s="1">
        <f t="shared" si="38"/>
        <v>345</v>
      </c>
      <c r="U69" s="3">
        <f t="shared" si="39"/>
        <v>41.449275362318843</v>
      </c>
      <c r="V69">
        <v>12</v>
      </c>
      <c r="W69" s="3">
        <f t="shared" si="40"/>
        <v>3.4782608695652173</v>
      </c>
      <c r="X69">
        <v>333</v>
      </c>
      <c r="Y69">
        <v>0</v>
      </c>
      <c r="Z69">
        <v>0</v>
      </c>
      <c r="AA69">
        <v>4</v>
      </c>
      <c r="AB69" s="3">
        <f t="shared" si="41"/>
        <v>1.1594202898550725</v>
      </c>
      <c r="AC69">
        <v>34</v>
      </c>
      <c r="AD69" s="3">
        <f t="shared" si="42"/>
        <v>9.8550724637681153</v>
      </c>
      <c r="AE69">
        <v>24</v>
      </c>
      <c r="AF69" s="3">
        <f t="shared" si="43"/>
        <v>6.9565217391304346</v>
      </c>
      <c r="AG69">
        <v>18</v>
      </c>
      <c r="AH69" s="3">
        <f t="shared" si="44"/>
        <v>5.2173913043478262</v>
      </c>
      <c r="AI69">
        <v>53</v>
      </c>
      <c r="AJ69" s="3">
        <f t="shared" si="45"/>
        <v>15.362318840579711</v>
      </c>
      <c r="AK69">
        <v>144</v>
      </c>
      <c r="AL69" s="3">
        <f t="shared" si="46"/>
        <v>41.739130434782609</v>
      </c>
      <c r="AM69">
        <v>18</v>
      </c>
      <c r="AN69" s="3">
        <f t="shared" si="47"/>
        <v>5.2173913043478262</v>
      </c>
      <c r="AO69">
        <v>2</v>
      </c>
      <c r="AP69" s="3">
        <f t="shared" si="48"/>
        <v>0.57971014492753625</v>
      </c>
      <c r="AQ69">
        <v>17</v>
      </c>
      <c r="AR69" s="3">
        <f t="shared" si="49"/>
        <v>4.9275362318840576</v>
      </c>
      <c r="AS69">
        <v>19</v>
      </c>
      <c r="AT69" s="3">
        <f t="shared" si="50"/>
        <v>5.5072463768115938</v>
      </c>
      <c r="AU69" t="s">
        <v>368</v>
      </c>
      <c r="AV69" s="72">
        <f>Дума_партии[[#This Row],[КОИБ]]</f>
        <v>2017</v>
      </c>
      <c r="AW69" s="1" t="str">
        <f>IF(Дума_партии[[#This Row],[Наблюдателей]]=0,"",Дума_партии[[#This Row],[Наблюдателей]])</f>
        <v/>
      </c>
      <c r="AX69"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74.095890410958901</v>
      </c>
      <c r="AY69" s="10">
        <f>2*(Мособлдума_партии[[#This Row],[6. Всероссийская политическая партия "ЕДИНАЯ РОССИЯ"]]-(AB$203/100)*Мособлдума_партии[[#This Row],[Число действительных бюллетеней]])</f>
        <v>108.17999999999998</v>
      </c>
      <c r="AZ69" s="10">
        <f>(Мособлдума_партии[[#This Row],[Вброс]]+Мособлдума_партии[[#This Row],[Перекладывание]])/2</f>
        <v>91.13794520547944</v>
      </c>
    </row>
    <row r="70" spans="2:52" x14ac:dyDescent="0.4">
      <c r="B70" t="s">
        <v>74</v>
      </c>
      <c r="C70" t="s">
        <v>366</v>
      </c>
      <c r="D70" t="s">
        <v>138</v>
      </c>
      <c r="E70" t="s">
        <v>198</v>
      </c>
      <c r="F70" s="8">
        <f t="shared" ca="1" si="35"/>
        <v>3954</v>
      </c>
      <c r="G70" s="8" t="str">
        <f>Дума_партии[[#This Row],[Местоположение]]</f>
        <v>Каринское</v>
      </c>
      <c r="H70" s="2" t="str">
        <f>LEFT(Мособлдума_партии[[#This Row],[tik]],4)&amp;"."&amp;IF(ISNUMBER(VALUE(RIGHT(Мособлдума_партии[[#This Row],[tik]]))),RIGHT(Мособлдума_партии[[#This Row],[tik]]),"")</f>
        <v>Один.</v>
      </c>
      <c r="I70">
        <v>1747</v>
      </c>
      <c r="J70" s="8">
        <f>Мособлдума_партии[[#This Row],[Число избирателей, внесенных в список на момент окончания голосования]]</f>
        <v>1747</v>
      </c>
      <c r="K70">
        <v>1500</v>
      </c>
      <c r="L70" s="1"/>
      <c r="M70">
        <v>662</v>
      </c>
      <c r="N70">
        <v>112</v>
      </c>
      <c r="O70" s="3">
        <f t="shared" si="36"/>
        <v>44.304522037779051</v>
      </c>
      <c r="P70" s="3">
        <f t="shared" si="37"/>
        <v>6.4109902690326273</v>
      </c>
      <c r="Q70">
        <v>726</v>
      </c>
      <c r="R70">
        <v>112</v>
      </c>
      <c r="S70">
        <v>662</v>
      </c>
      <c r="T70" s="1">
        <f t="shared" si="38"/>
        <v>774</v>
      </c>
      <c r="U70" s="3">
        <f t="shared" si="39"/>
        <v>14.470284237726098</v>
      </c>
      <c r="V70">
        <v>59</v>
      </c>
      <c r="W70" s="3">
        <f t="shared" si="40"/>
        <v>7.6227390180878549</v>
      </c>
      <c r="X70">
        <v>715</v>
      </c>
      <c r="Y70">
        <v>0</v>
      </c>
      <c r="Z70">
        <v>0</v>
      </c>
      <c r="AA70">
        <v>13</v>
      </c>
      <c r="AB70" s="3">
        <f t="shared" si="41"/>
        <v>1.6795865633074936</v>
      </c>
      <c r="AC70">
        <v>90</v>
      </c>
      <c r="AD70" s="3">
        <f t="shared" si="42"/>
        <v>11.627906976744185</v>
      </c>
      <c r="AE70">
        <v>37</v>
      </c>
      <c r="AF70" s="3">
        <f t="shared" si="43"/>
        <v>4.7803617571059434</v>
      </c>
      <c r="AG70">
        <v>49</v>
      </c>
      <c r="AH70" s="3">
        <f t="shared" si="44"/>
        <v>6.3307493540051683</v>
      </c>
      <c r="AI70">
        <v>180</v>
      </c>
      <c r="AJ70" s="3">
        <f t="shared" si="45"/>
        <v>23.255813953488371</v>
      </c>
      <c r="AK70">
        <v>221</v>
      </c>
      <c r="AL70" s="3">
        <f t="shared" si="46"/>
        <v>28.552971576227389</v>
      </c>
      <c r="AM70">
        <v>9</v>
      </c>
      <c r="AN70" s="3">
        <f t="shared" si="47"/>
        <v>1.1627906976744187</v>
      </c>
      <c r="AO70">
        <v>5</v>
      </c>
      <c r="AP70" s="3">
        <f t="shared" si="48"/>
        <v>0.64599483204134367</v>
      </c>
      <c r="AQ70">
        <v>41</v>
      </c>
      <c r="AR70" s="3">
        <f t="shared" si="49"/>
        <v>5.297157622739018</v>
      </c>
      <c r="AS70">
        <v>70</v>
      </c>
      <c r="AT70" s="3">
        <f t="shared" si="50"/>
        <v>9.043927648578812</v>
      </c>
      <c r="AU70" t="s">
        <v>368</v>
      </c>
      <c r="AV70" s="72">
        <f>Дума_партии[[#This Row],[КОИБ]]</f>
        <v>2017</v>
      </c>
      <c r="AW70" s="1" t="str">
        <f>IF(Дума_партии[[#This Row],[Наблюдателей]]=0,"",Дума_партии[[#This Row],[Наблюдателей]])</f>
        <v/>
      </c>
      <c r="AX70"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38.287671232876704</v>
      </c>
      <c r="AY70" s="10">
        <f>2*(Мособлдума_партии[[#This Row],[6. Всероссийская политическая партия "ЕДИНАЯ РОССИЯ"]]-(AB$203/100)*Мособлдума_партии[[#This Row],[Число действительных бюллетеней]])</f>
        <v>55.899999999999977</v>
      </c>
      <c r="AZ70" s="10">
        <f>(Мособлдума_партии[[#This Row],[Вброс]]+Мособлдума_партии[[#This Row],[Перекладывание]])/2</f>
        <v>47.093835616438341</v>
      </c>
    </row>
    <row r="71" spans="2:52" x14ac:dyDescent="0.4">
      <c r="B71" t="s">
        <v>74</v>
      </c>
      <c r="C71" t="s">
        <v>366</v>
      </c>
      <c r="D71" t="s">
        <v>138</v>
      </c>
      <c r="E71" t="s">
        <v>199</v>
      </c>
      <c r="F71" s="8">
        <f t="shared" ca="1" si="35"/>
        <v>3955</v>
      </c>
      <c r="G71" s="8" t="str">
        <f>Дума_партии[[#This Row],[Местоположение]]</f>
        <v>Саввинская Слобода</v>
      </c>
      <c r="H71" s="2" t="str">
        <f>LEFT(Мособлдума_партии[[#This Row],[tik]],4)&amp;"."&amp;IF(ISNUMBER(VALUE(RIGHT(Мособлдума_партии[[#This Row],[tik]]))),RIGHT(Мособлдума_партии[[#This Row],[tik]]),"")</f>
        <v>Один.</v>
      </c>
      <c r="I71">
        <v>1907</v>
      </c>
      <c r="J71" s="8">
        <f>Мособлдума_партии[[#This Row],[Число избирателей, внесенных в список на момент окончания голосования]]</f>
        <v>1907</v>
      </c>
      <c r="K71">
        <v>1500</v>
      </c>
      <c r="L71" s="1"/>
      <c r="M71">
        <v>876</v>
      </c>
      <c r="N71">
        <v>117</v>
      </c>
      <c r="O71" s="3">
        <f t="shared" si="36"/>
        <v>52.071316203460931</v>
      </c>
      <c r="P71" s="3">
        <f t="shared" si="37"/>
        <v>6.1352910330361823</v>
      </c>
      <c r="Q71">
        <v>507</v>
      </c>
      <c r="R71">
        <v>117</v>
      </c>
      <c r="S71">
        <v>876</v>
      </c>
      <c r="T71" s="1">
        <f t="shared" si="38"/>
        <v>993</v>
      </c>
      <c r="U71" s="3">
        <f t="shared" si="39"/>
        <v>11.782477341389727</v>
      </c>
      <c r="V71">
        <v>23</v>
      </c>
      <c r="W71" s="3">
        <f t="shared" si="40"/>
        <v>2.3162134944612287</v>
      </c>
      <c r="X71">
        <v>970</v>
      </c>
      <c r="Y71">
        <v>0</v>
      </c>
      <c r="Z71">
        <v>0</v>
      </c>
      <c r="AA71">
        <v>14</v>
      </c>
      <c r="AB71" s="3">
        <f t="shared" si="41"/>
        <v>1.4098690835850958</v>
      </c>
      <c r="AC71">
        <v>127</v>
      </c>
      <c r="AD71" s="3">
        <f t="shared" si="42"/>
        <v>12.789526686807653</v>
      </c>
      <c r="AE71">
        <v>87</v>
      </c>
      <c r="AF71" s="3">
        <f t="shared" si="43"/>
        <v>8.761329305135952</v>
      </c>
      <c r="AG71">
        <v>58</v>
      </c>
      <c r="AH71" s="3">
        <f t="shared" si="44"/>
        <v>5.8408862034239677</v>
      </c>
      <c r="AI71">
        <v>219</v>
      </c>
      <c r="AJ71" s="3">
        <f t="shared" si="45"/>
        <v>22.05438066465257</v>
      </c>
      <c r="AK71">
        <v>278</v>
      </c>
      <c r="AL71" s="3">
        <f t="shared" si="46"/>
        <v>27.995971802618328</v>
      </c>
      <c r="AM71">
        <v>26</v>
      </c>
      <c r="AN71" s="3">
        <f t="shared" si="47"/>
        <v>2.6183282980866061</v>
      </c>
      <c r="AO71">
        <v>12</v>
      </c>
      <c r="AP71" s="3">
        <f t="shared" si="48"/>
        <v>1.2084592145015105</v>
      </c>
      <c r="AQ71">
        <v>58</v>
      </c>
      <c r="AR71" s="3">
        <f t="shared" si="49"/>
        <v>5.8408862034239677</v>
      </c>
      <c r="AS71">
        <v>91</v>
      </c>
      <c r="AT71" s="3">
        <f t="shared" si="50"/>
        <v>9.1641490433031212</v>
      </c>
      <c r="AU71" t="s">
        <v>368</v>
      </c>
      <c r="AV71" s="72">
        <f>Дума_партии[[#This Row],[КОИБ]]</f>
        <v>2017</v>
      </c>
      <c r="AW71" s="1" t="str">
        <f>IF(Дума_партии[[#This Row],[Наблюдателей]]=0,"",Дума_партии[[#This Row],[Наблюдателей]])</f>
        <v/>
      </c>
      <c r="AX71"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22.054794520547915</v>
      </c>
      <c r="AY71" s="10">
        <f>2*(Мособлдума_партии[[#This Row],[6. Всероссийская политическая партия "ЕДИНАЯ РОССИЯ"]]-(AB$203/100)*Мособлдума_партии[[#This Row],[Число действительных бюллетеней]])</f>
        <v>32.199999999999932</v>
      </c>
      <c r="AZ71" s="10">
        <f>(Мособлдума_партии[[#This Row],[Вброс]]+Мособлдума_партии[[#This Row],[Перекладывание]])/2</f>
        <v>27.127397260273924</v>
      </c>
    </row>
    <row r="72" spans="2:52" x14ac:dyDescent="0.4">
      <c r="B72" t="s">
        <v>74</v>
      </c>
      <c r="C72" t="s">
        <v>366</v>
      </c>
      <c r="D72" t="s">
        <v>138</v>
      </c>
      <c r="E72" t="s">
        <v>200</v>
      </c>
      <c r="F72" s="8">
        <f t="shared" ca="1" si="35"/>
        <v>3957</v>
      </c>
      <c r="G72" s="8" t="str">
        <f>Дума_партии[[#This Row],[Местоположение]]</f>
        <v>Жаворонки</v>
      </c>
      <c r="H72" s="2" t="str">
        <f>LEFT(Мособлдума_партии[[#This Row],[tik]],4)&amp;"."&amp;IF(ISNUMBER(VALUE(RIGHT(Мособлдума_партии[[#This Row],[tik]]))),RIGHT(Мособлдума_партии[[#This Row],[tik]]),"")</f>
        <v>Один.</v>
      </c>
      <c r="I72">
        <v>1194</v>
      </c>
      <c r="J72" s="8">
        <f>Мособлдума_партии[[#This Row],[Число избирателей, внесенных в список на момент окончания голосования]]</f>
        <v>1194</v>
      </c>
      <c r="K72">
        <v>1000</v>
      </c>
      <c r="L72" s="1"/>
      <c r="M72">
        <v>388</v>
      </c>
      <c r="N72">
        <v>27</v>
      </c>
      <c r="O72" s="3">
        <f t="shared" si="36"/>
        <v>34.757118927973202</v>
      </c>
      <c r="P72" s="3">
        <f t="shared" si="37"/>
        <v>2.2613065326633164</v>
      </c>
      <c r="Q72">
        <v>585</v>
      </c>
      <c r="R72">
        <v>27</v>
      </c>
      <c r="S72">
        <v>388</v>
      </c>
      <c r="T72" s="1">
        <f t="shared" si="38"/>
        <v>415</v>
      </c>
      <c r="U72" s="3">
        <f t="shared" si="39"/>
        <v>6.5060240963855422</v>
      </c>
      <c r="V72">
        <v>25</v>
      </c>
      <c r="W72" s="3">
        <f t="shared" si="40"/>
        <v>6.024096385542169</v>
      </c>
      <c r="X72">
        <v>390</v>
      </c>
      <c r="Y72">
        <v>0</v>
      </c>
      <c r="Z72">
        <v>0</v>
      </c>
      <c r="AA72">
        <v>10</v>
      </c>
      <c r="AB72" s="3">
        <f t="shared" si="41"/>
        <v>2.4096385542168677</v>
      </c>
      <c r="AC72">
        <v>31</v>
      </c>
      <c r="AD72" s="3">
        <f t="shared" si="42"/>
        <v>7.4698795180722888</v>
      </c>
      <c r="AE72">
        <v>28</v>
      </c>
      <c r="AF72" s="3">
        <f t="shared" si="43"/>
        <v>6.7469879518072293</v>
      </c>
      <c r="AG72">
        <v>19</v>
      </c>
      <c r="AH72" s="3">
        <f t="shared" si="44"/>
        <v>4.5783132530120483</v>
      </c>
      <c r="AI72">
        <v>86</v>
      </c>
      <c r="AJ72" s="3">
        <f t="shared" si="45"/>
        <v>20.722891566265059</v>
      </c>
      <c r="AK72">
        <v>146</v>
      </c>
      <c r="AL72" s="3">
        <f t="shared" si="46"/>
        <v>35.180722891566262</v>
      </c>
      <c r="AM72">
        <v>9</v>
      </c>
      <c r="AN72" s="3">
        <f t="shared" si="47"/>
        <v>2.1686746987951806</v>
      </c>
      <c r="AO72">
        <v>9</v>
      </c>
      <c r="AP72" s="3">
        <f t="shared" si="48"/>
        <v>2.1686746987951806</v>
      </c>
      <c r="AQ72">
        <v>18</v>
      </c>
      <c r="AR72" s="3">
        <f t="shared" si="49"/>
        <v>4.3373493975903612</v>
      </c>
      <c r="AS72">
        <v>34</v>
      </c>
      <c r="AT72" s="3">
        <f t="shared" si="50"/>
        <v>8.19277108433735</v>
      </c>
      <c r="AU72" t="s">
        <v>368</v>
      </c>
      <c r="AV72" s="72">
        <f>Дума_партии[[#This Row],[КОИБ]]</f>
        <v>2017</v>
      </c>
      <c r="AW72" s="1" t="str">
        <f>IF(Дума_партии[[#This Row],[Наблюдателей]]=0,"",Дума_партии[[#This Row],[Наблюдателей]])</f>
        <v/>
      </c>
      <c r="AX72"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55.753424657534239</v>
      </c>
      <c r="AY72" s="10">
        <f>2*(Мособлдума_партии[[#This Row],[6. Всероссийская политическая партия "ЕДИНАЯ РОССИЯ"]]-(AB$203/100)*Мособлдума_партии[[#This Row],[Число действительных бюллетеней]])</f>
        <v>81.399999999999977</v>
      </c>
      <c r="AZ72" s="10">
        <f>(Мособлдума_партии[[#This Row],[Вброс]]+Мособлдума_партии[[#This Row],[Перекладывание]])/2</f>
        <v>68.576712328767115</v>
      </c>
    </row>
    <row r="73" spans="2:52" x14ac:dyDescent="0.4">
      <c r="B73" t="s">
        <v>74</v>
      </c>
      <c r="C73" t="s">
        <v>366</v>
      </c>
      <c r="D73" t="s">
        <v>138</v>
      </c>
      <c r="E73" t="s">
        <v>201</v>
      </c>
      <c r="F73" s="8">
        <f t="shared" ca="1" si="35"/>
        <v>3958</v>
      </c>
      <c r="G73" s="8" t="str">
        <f>Дума_партии[[#This Row],[Местоположение]]</f>
        <v>Жаворонки</v>
      </c>
      <c r="H73" s="2" t="str">
        <f>LEFT(Мособлдума_партии[[#This Row],[tik]],4)&amp;"."&amp;IF(ISNUMBER(VALUE(RIGHT(Мособлдума_партии[[#This Row],[tik]]))),RIGHT(Мособлдума_партии[[#This Row],[tik]]),"")</f>
        <v>Один.</v>
      </c>
      <c r="I73">
        <v>1129</v>
      </c>
      <c r="J73" s="8">
        <f>Мособлдума_партии[[#This Row],[Число избирателей, внесенных в список на момент окончания голосования]]</f>
        <v>1129</v>
      </c>
      <c r="K73">
        <v>1000</v>
      </c>
      <c r="L73" s="1"/>
      <c r="M73">
        <v>439</v>
      </c>
      <c r="N73">
        <v>19</v>
      </c>
      <c r="O73" s="3">
        <f t="shared" si="36"/>
        <v>40.566873339238263</v>
      </c>
      <c r="P73" s="3">
        <f t="shared" si="37"/>
        <v>1.6829052258635961</v>
      </c>
      <c r="Q73">
        <v>542</v>
      </c>
      <c r="R73">
        <v>19</v>
      </c>
      <c r="S73">
        <v>438</v>
      </c>
      <c r="T73" s="1">
        <f t="shared" si="38"/>
        <v>457</v>
      </c>
      <c r="U73" s="3">
        <f t="shared" si="39"/>
        <v>4.1575492341356677</v>
      </c>
      <c r="V73">
        <v>23</v>
      </c>
      <c r="W73" s="3">
        <f t="shared" si="40"/>
        <v>5.0328227571115978</v>
      </c>
      <c r="X73">
        <v>434</v>
      </c>
      <c r="Y73">
        <v>0</v>
      </c>
      <c r="Z73">
        <v>0</v>
      </c>
      <c r="AA73">
        <v>7</v>
      </c>
      <c r="AB73" s="3">
        <f t="shared" si="41"/>
        <v>1.5317286652078774</v>
      </c>
      <c r="AC73">
        <v>55</v>
      </c>
      <c r="AD73" s="3">
        <f t="shared" si="42"/>
        <v>12.035010940919037</v>
      </c>
      <c r="AE73">
        <v>25</v>
      </c>
      <c r="AF73" s="3">
        <f t="shared" si="43"/>
        <v>5.4704595185995624</v>
      </c>
      <c r="AG73">
        <v>31</v>
      </c>
      <c r="AH73" s="3">
        <f t="shared" si="44"/>
        <v>6.783369803063457</v>
      </c>
      <c r="AI73">
        <v>100</v>
      </c>
      <c r="AJ73" s="3">
        <f t="shared" si="45"/>
        <v>21.881838074398249</v>
      </c>
      <c r="AK73">
        <v>128</v>
      </c>
      <c r="AL73" s="3">
        <f t="shared" si="46"/>
        <v>28.008752735229759</v>
      </c>
      <c r="AM73">
        <v>8</v>
      </c>
      <c r="AN73" s="3">
        <f t="shared" si="47"/>
        <v>1.7505470459518599</v>
      </c>
      <c r="AO73">
        <v>14</v>
      </c>
      <c r="AP73" s="3">
        <f t="shared" si="48"/>
        <v>3.0634573304157549</v>
      </c>
      <c r="AQ73">
        <v>14</v>
      </c>
      <c r="AR73" s="3">
        <f t="shared" si="49"/>
        <v>3.0634573304157549</v>
      </c>
      <c r="AS73">
        <v>52</v>
      </c>
      <c r="AT73" s="3">
        <f t="shared" si="50"/>
        <v>11.37855579868709</v>
      </c>
      <c r="AU73" t="s">
        <v>368</v>
      </c>
      <c r="AV73" s="72">
        <f>Дума_партии[[#This Row],[КОИБ]]</f>
        <v>2017</v>
      </c>
      <c r="AW73" s="1" t="str">
        <f>IF(Дума_партии[[#This Row],[Наблюдателей]]=0,"",Дума_партии[[#This Row],[Наблюдателей]])</f>
        <v/>
      </c>
      <c r="AX73"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14.821917808219169</v>
      </c>
      <c r="AY73" s="10">
        <f>2*(Мособлдума_партии[[#This Row],[6. Всероссийская политическая партия "ЕДИНАЯ РОССИЯ"]]-(AB$203/100)*Мособлдума_партии[[#This Row],[Число действительных бюллетеней]])</f>
        <v>21.639999999999986</v>
      </c>
      <c r="AZ73" s="10">
        <f>(Мособлдума_партии[[#This Row],[Вброс]]+Мособлдума_партии[[#This Row],[Перекладывание]])/2</f>
        <v>18.230958904109578</v>
      </c>
    </row>
    <row r="74" spans="2:52" x14ac:dyDescent="0.4">
      <c r="B74" t="s">
        <v>74</v>
      </c>
      <c r="C74" t="s">
        <v>366</v>
      </c>
      <c r="D74" t="s">
        <v>138</v>
      </c>
      <c r="E74" t="s">
        <v>202</v>
      </c>
      <c r="F74" s="8">
        <f t="shared" ca="1" si="35"/>
        <v>3959</v>
      </c>
      <c r="G74" s="8" t="str">
        <f>Дума_партии[[#This Row],[Местоположение]]</f>
        <v>Ликино</v>
      </c>
      <c r="H74" s="2" t="str">
        <f>LEFT(Мособлдума_партии[[#This Row],[tik]],4)&amp;"."&amp;IF(ISNUMBER(VALUE(RIGHT(Мособлдума_партии[[#This Row],[tik]]))),RIGHT(Мособлдума_партии[[#This Row],[tik]]),"")</f>
        <v>Один.</v>
      </c>
      <c r="I74">
        <v>1498</v>
      </c>
      <c r="J74" s="8">
        <f>Мособлдума_партии[[#This Row],[Число избирателей, внесенных в список на момент окончания голосования]]</f>
        <v>1498</v>
      </c>
      <c r="K74">
        <v>1200</v>
      </c>
      <c r="L74" s="1"/>
      <c r="M74">
        <v>532</v>
      </c>
      <c r="N74">
        <v>50</v>
      </c>
      <c r="O74" s="3">
        <f t="shared" si="36"/>
        <v>38.851802403204275</v>
      </c>
      <c r="P74" s="3">
        <f t="shared" si="37"/>
        <v>3.3377837116154874</v>
      </c>
      <c r="Q74">
        <v>618</v>
      </c>
      <c r="R74">
        <v>50</v>
      </c>
      <c r="S74">
        <v>526</v>
      </c>
      <c r="T74" s="1">
        <f t="shared" si="38"/>
        <v>576</v>
      </c>
      <c r="U74" s="3">
        <f t="shared" si="39"/>
        <v>8.6805555555555554</v>
      </c>
      <c r="V74">
        <v>49</v>
      </c>
      <c r="W74" s="3">
        <f t="shared" si="40"/>
        <v>8.5069444444444446</v>
      </c>
      <c r="X74">
        <v>527</v>
      </c>
      <c r="Y74">
        <v>0</v>
      </c>
      <c r="Z74">
        <v>0</v>
      </c>
      <c r="AA74">
        <v>12</v>
      </c>
      <c r="AB74" s="3">
        <f t="shared" si="41"/>
        <v>2.0833333333333335</v>
      </c>
      <c r="AC74">
        <v>50</v>
      </c>
      <c r="AD74" s="3">
        <f t="shared" si="42"/>
        <v>8.6805555555555554</v>
      </c>
      <c r="AE74">
        <v>43</v>
      </c>
      <c r="AF74" s="3">
        <f t="shared" si="43"/>
        <v>7.4652777777777777</v>
      </c>
      <c r="AG74">
        <v>32</v>
      </c>
      <c r="AH74" s="3">
        <f t="shared" si="44"/>
        <v>5.5555555555555554</v>
      </c>
      <c r="AI74">
        <v>119</v>
      </c>
      <c r="AJ74" s="3">
        <f t="shared" si="45"/>
        <v>20.659722222222221</v>
      </c>
      <c r="AK74">
        <v>172</v>
      </c>
      <c r="AL74" s="3">
        <f t="shared" si="46"/>
        <v>29.861111111111111</v>
      </c>
      <c r="AM74">
        <v>11</v>
      </c>
      <c r="AN74" s="3">
        <f t="shared" si="47"/>
        <v>1.9097222222222223</v>
      </c>
      <c r="AO74">
        <v>9</v>
      </c>
      <c r="AP74" s="3">
        <f t="shared" si="48"/>
        <v>1.5625</v>
      </c>
      <c r="AQ74">
        <v>23</v>
      </c>
      <c r="AR74" s="3">
        <f t="shared" si="49"/>
        <v>3.9930555555555554</v>
      </c>
      <c r="AS74">
        <v>56</v>
      </c>
      <c r="AT74" s="3">
        <f t="shared" si="50"/>
        <v>9.7222222222222214</v>
      </c>
      <c r="AU74" t="s">
        <v>368</v>
      </c>
      <c r="AV74" s="72">
        <f>Дума_партии[[#This Row],[КОИБ]]</f>
        <v>2017</v>
      </c>
      <c r="AW74" s="1">
        <f>IF(Дума_партии[[#This Row],[Наблюдателей]]=0,"",Дума_партии[[#This Row],[Наблюдателей]])</f>
        <v>1</v>
      </c>
      <c r="AX74"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40.698630136986282</v>
      </c>
      <c r="AY74" s="10">
        <f>2*(Мособлдума_партии[[#This Row],[6. Всероссийская политическая партия "ЕДИНАЯ РОССИЯ"]]-(AB$203/100)*Мособлдума_партии[[#This Row],[Число действительных бюллетеней]])</f>
        <v>59.419999999999959</v>
      </c>
      <c r="AZ74" s="10">
        <f>(Мособлдума_партии[[#This Row],[Вброс]]+Мособлдума_партии[[#This Row],[Перекладывание]])/2</f>
        <v>50.05931506849312</v>
      </c>
    </row>
    <row r="75" spans="2:52" x14ac:dyDescent="0.4">
      <c r="B75" t="s">
        <v>74</v>
      </c>
      <c r="C75" t="s">
        <v>366</v>
      </c>
      <c r="D75" t="s">
        <v>138</v>
      </c>
      <c r="E75" t="s">
        <v>203</v>
      </c>
      <c r="F75" s="8">
        <f t="shared" ca="1" si="35"/>
        <v>3960</v>
      </c>
      <c r="G75" s="8" t="str">
        <f>Дума_партии[[#This Row],[Местоположение]]</f>
        <v>Осоргино</v>
      </c>
      <c r="H75" s="2" t="str">
        <f>LEFT(Мособлдума_партии[[#This Row],[tik]],4)&amp;"."&amp;IF(ISNUMBER(VALUE(RIGHT(Мособлдума_партии[[#This Row],[tik]]))),RIGHT(Мособлдума_партии[[#This Row],[tik]]),"")</f>
        <v>Один.</v>
      </c>
      <c r="I75">
        <v>1859</v>
      </c>
      <c r="J75" s="8">
        <f>Мособлдума_партии[[#This Row],[Число избирателей, внесенных в список на момент окончания голосования]]</f>
        <v>1859</v>
      </c>
      <c r="K75">
        <v>1500</v>
      </c>
      <c r="L75" s="1"/>
      <c r="M75">
        <v>347</v>
      </c>
      <c r="N75">
        <v>32</v>
      </c>
      <c r="O75" s="3">
        <f t="shared" si="36"/>
        <v>20.387305002689619</v>
      </c>
      <c r="P75" s="3">
        <f t="shared" si="37"/>
        <v>1.7213555675094137</v>
      </c>
      <c r="Q75">
        <v>1121</v>
      </c>
      <c r="R75">
        <v>32</v>
      </c>
      <c r="S75">
        <v>347</v>
      </c>
      <c r="T75" s="1">
        <f t="shared" si="38"/>
        <v>379</v>
      </c>
      <c r="U75" s="3">
        <f t="shared" si="39"/>
        <v>8.4432717678100264</v>
      </c>
      <c r="V75">
        <v>17</v>
      </c>
      <c r="W75" s="3">
        <f t="shared" si="40"/>
        <v>4.4854881266490763</v>
      </c>
      <c r="X75">
        <v>362</v>
      </c>
      <c r="Y75">
        <v>0</v>
      </c>
      <c r="Z75">
        <v>0</v>
      </c>
      <c r="AA75">
        <v>8</v>
      </c>
      <c r="AB75" s="3">
        <f t="shared" si="41"/>
        <v>2.1108179419525066</v>
      </c>
      <c r="AC75">
        <v>33</v>
      </c>
      <c r="AD75" s="3">
        <f t="shared" si="42"/>
        <v>8.7071240105540895</v>
      </c>
      <c r="AE75">
        <v>34</v>
      </c>
      <c r="AF75" s="3">
        <f t="shared" si="43"/>
        <v>8.9709762532981525</v>
      </c>
      <c r="AG75">
        <v>20</v>
      </c>
      <c r="AH75" s="3">
        <f t="shared" si="44"/>
        <v>5.2770448548812663</v>
      </c>
      <c r="AI75">
        <v>90</v>
      </c>
      <c r="AJ75" s="3">
        <f t="shared" si="45"/>
        <v>23.746701846965699</v>
      </c>
      <c r="AK75">
        <v>94</v>
      </c>
      <c r="AL75" s="3">
        <f t="shared" si="46"/>
        <v>24.802110817941951</v>
      </c>
      <c r="AM75">
        <v>13</v>
      </c>
      <c r="AN75" s="3">
        <f t="shared" si="47"/>
        <v>3.4300791556728232</v>
      </c>
      <c r="AO75">
        <v>13</v>
      </c>
      <c r="AP75" s="3">
        <f t="shared" si="48"/>
        <v>3.4300791556728232</v>
      </c>
      <c r="AQ75">
        <v>14</v>
      </c>
      <c r="AR75" s="3">
        <f t="shared" si="49"/>
        <v>3.6939313984168867</v>
      </c>
      <c r="AS75">
        <v>43</v>
      </c>
      <c r="AT75" s="3">
        <f t="shared" si="50"/>
        <v>11.345646437994723</v>
      </c>
      <c r="AU75" t="s">
        <v>368</v>
      </c>
      <c r="AV75" s="72">
        <f>Дума_партии[[#This Row],[КОИБ]]</f>
        <v>2017</v>
      </c>
      <c r="AW75" s="1" t="str">
        <f>IF(Дума_партии[[#This Row],[Наблюдателей]]=0,"",Дума_партии[[#This Row],[Наблюдателей]])</f>
        <v/>
      </c>
      <c r="AX75"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-5.1232876712328874</v>
      </c>
      <c r="AY75" s="10">
        <f>2*(Мособлдума_партии[[#This Row],[6. Всероссийская политическая партия "ЕДИНАЯ РОССИЯ"]]-(AB$203/100)*Мособлдума_партии[[#This Row],[Число действительных бюллетеней]])</f>
        <v>-7.4800000000000182</v>
      </c>
      <c r="AZ75" s="10">
        <f>(Мособлдума_партии[[#This Row],[Вброс]]+Мособлдума_партии[[#This Row],[Перекладывание]])/2</f>
        <v>-6.3016438356164528</v>
      </c>
    </row>
    <row r="76" spans="2:52" x14ac:dyDescent="0.4">
      <c r="B76" t="s">
        <v>74</v>
      </c>
      <c r="C76" t="s">
        <v>366</v>
      </c>
      <c r="D76" t="s">
        <v>138</v>
      </c>
      <c r="E76" t="s">
        <v>204</v>
      </c>
      <c r="F76" s="8">
        <f t="shared" ca="1" si="35"/>
        <v>3961</v>
      </c>
      <c r="G76" s="8" t="str">
        <f>Дума_партии[[#This Row],[Местоположение]]</f>
        <v>Перхушково</v>
      </c>
      <c r="H76" s="2" t="str">
        <f>LEFT(Мособлдума_партии[[#This Row],[tik]],4)&amp;"."&amp;IF(ISNUMBER(VALUE(RIGHT(Мособлдума_партии[[#This Row],[tik]]))),RIGHT(Мособлдума_партии[[#This Row],[tik]]),"")</f>
        <v>Один.</v>
      </c>
      <c r="I76">
        <v>1315</v>
      </c>
      <c r="J76" s="8">
        <f>Мособлдума_партии[[#This Row],[Число избирателей, внесенных в список на момент окончания голосования]]</f>
        <v>1315</v>
      </c>
      <c r="K76">
        <v>1000</v>
      </c>
      <c r="L76" s="1"/>
      <c r="M76">
        <v>398</v>
      </c>
      <c r="N76">
        <v>42</v>
      </c>
      <c r="O76" s="3">
        <f t="shared" si="36"/>
        <v>33.460076045627375</v>
      </c>
      <c r="P76" s="3">
        <f t="shared" si="37"/>
        <v>3.1939163498098861</v>
      </c>
      <c r="Q76">
        <v>560</v>
      </c>
      <c r="R76">
        <v>42</v>
      </c>
      <c r="S76">
        <v>396</v>
      </c>
      <c r="T76" s="1">
        <f t="shared" si="38"/>
        <v>438</v>
      </c>
      <c r="U76" s="3">
        <f t="shared" si="39"/>
        <v>9.5890410958904102</v>
      </c>
      <c r="V76">
        <v>10</v>
      </c>
      <c r="W76" s="3">
        <f t="shared" si="40"/>
        <v>2.2831050228310503</v>
      </c>
      <c r="X76">
        <v>428</v>
      </c>
      <c r="Y76">
        <v>0</v>
      </c>
      <c r="Z76">
        <v>0</v>
      </c>
      <c r="AA76">
        <v>8</v>
      </c>
      <c r="AB76" s="3">
        <f t="shared" si="41"/>
        <v>1.8264840182648401</v>
      </c>
      <c r="AC76">
        <v>45</v>
      </c>
      <c r="AD76" s="3">
        <f t="shared" si="42"/>
        <v>10.273972602739725</v>
      </c>
      <c r="AE76">
        <v>48</v>
      </c>
      <c r="AF76" s="3">
        <f t="shared" si="43"/>
        <v>10.95890410958904</v>
      </c>
      <c r="AG76">
        <v>28</v>
      </c>
      <c r="AH76" s="3">
        <f t="shared" si="44"/>
        <v>6.3926940639269407</v>
      </c>
      <c r="AI76">
        <v>131</v>
      </c>
      <c r="AJ76" s="3">
        <f t="shared" si="45"/>
        <v>29.908675799086758</v>
      </c>
      <c r="AK76">
        <v>83</v>
      </c>
      <c r="AL76" s="3">
        <f t="shared" si="46"/>
        <v>18.949771689497716</v>
      </c>
      <c r="AM76">
        <v>12</v>
      </c>
      <c r="AN76" s="3">
        <f t="shared" si="47"/>
        <v>2.7397260273972601</v>
      </c>
      <c r="AO76">
        <v>17</v>
      </c>
      <c r="AP76" s="3">
        <f t="shared" si="48"/>
        <v>3.8812785388127855</v>
      </c>
      <c r="AQ76">
        <v>14</v>
      </c>
      <c r="AR76" s="3">
        <f t="shared" si="49"/>
        <v>3.1963470319634704</v>
      </c>
      <c r="AS76">
        <v>42</v>
      </c>
      <c r="AT76" s="3">
        <f t="shared" si="50"/>
        <v>9.5890410958904102</v>
      </c>
      <c r="AU76" t="s">
        <v>368</v>
      </c>
      <c r="AV76" s="72">
        <f>Дума_партии[[#This Row],[КОИБ]]</f>
        <v>2017</v>
      </c>
      <c r="AW76" s="1">
        <f>IF(Дума_партии[[#This Row],[Наблюдателей]]=0,"",Дума_партии[[#This Row],[Наблюдателей]])</f>
        <v>2</v>
      </c>
      <c r="AX76"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-44.602739726027409</v>
      </c>
      <c r="AY76" s="10">
        <f>2*(Мособлдума_партии[[#This Row],[6. Всероссийская политическая партия "ЕДИНАЯ РОССИЯ"]]-(AB$203/100)*Мособлдума_партии[[#This Row],[Число действительных бюллетеней]])</f>
        <v>-65.12</v>
      </c>
      <c r="AZ76" s="10">
        <f>(Мособлдума_партии[[#This Row],[Вброс]]+Мособлдума_партии[[#This Row],[Перекладывание]])/2</f>
        <v>-54.861369863013707</v>
      </c>
    </row>
    <row r="77" spans="2:52" x14ac:dyDescent="0.4">
      <c r="B77" t="s">
        <v>74</v>
      </c>
      <c r="C77" t="s">
        <v>366</v>
      </c>
      <c r="D77" t="s">
        <v>138</v>
      </c>
      <c r="E77" t="s">
        <v>205</v>
      </c>
      <c r="F77" s="8">
        <f t="shared" ca="1" si="35"/>
        <v>3962</v>
      </c>
      <c r="G77" s="8" t="str">
        <f>Дума_партии[[#This Row],[Местоположение]]</f>
        <v>Юдино</v>
      </c>
      <c r="H77" s="2" t="str">
        <f>LEFT(Мособлдума_партии[[#This Row],[tik]],4)&amp;"."&amp;IF(ISNUMBER(VALUE(RIGHT(Мособлдума_партии[[#This Row],[tik]]))),RIGHT(Мособлдума_партии[[#This Row],[tik]]),"")</f>
        <v>Один.</v>
      </c>
      <c r="I77">
        <v>1300</v>
      </c>
      <c r="J77" s="8">
        <f>Мособлдума_партии[[#This Row],[Число избирателей, внесенных в список на момент окончания голосования]]</f>
        <v>1300</v>
      </c>
      <c r="K77">
        <v>1000</v>
      </c>
      <c r="L77" s="1"/>
      <c r="M77">
        <v>602</v>
      </c>
      <c r="N77">
        <v>30</v>
      </c>
      <c r="O77" s="3">
        <f t="shared" si="36"/>
        <v>48.615384615384613</v>
      </c>
      <c r="P77" s="3">
        <f t="shared" si="37"/>
        <v>2.3076923076923075</v>
      </c>
      <c r="Q77">
        <v>368</v>
      </c>
      <c r="R77">
        <v>30</v>
      </c>
      <c r="S77">
        <v>602</v>
      </c>
      <c r="T77" s="1">
        <f t="shared" si="38"/>
        <v>632</v>
      </c>
      <c r="U77" s="3">
        <f t="shared" si="39"/>
        <v>4.7468354430379751</v>
      </c>
      <c r="V77">
        <v>28</v>
      </c>
      <c r="W77" s="3">
        <f t="shared" si="40"/>
        <v>4.4303797468354427</v>
      </c>
      <c r="X77">
        <v>604</v>
      </c>
      <c r="Y77">
        <v>0</v>
      </c>
      <c r="Z77">
        <v>0</v>
      </c>
      <c r="AA77">
        <v>8</v>
      </c>
      <c r="AB77" s="3">
        <f t="shared" si="41"/>
        <v>1.2658227848101267</v>
      </c>
      <c r="AC77">
        <v>43</v>
      </c>
      <c r="AD77" s="3">
        <f t="shared" si="42"/>
        <v>6.8037974683544302</v>
      </c>
      <c r="AE77">
        <v>13</v>
      </c>
      <c r="AF77" s="3">
        <f t="shared" si="43"/>
        <v>2.0569620253164556</v>
      </c>
      <c r="AG77">
        <v>14</v>
      </c>
      <c r="AH77" s="3">
        <f t="shared" si="44"/>
        <v>2.2151898734177213</v>
      </c>
      <c r="AI77">
        <v>134</v>
      </c>
      <c r="AJ77" s="3">
        <f t="shared" si="45"/>
        <v>21.202531645569621</v>
      </c>
      <c r="AK77">
        <v>309</v>
      </c>
      <c r="AL77" s="3">
        <f t="shared" si="46"/>
        <v>48.892405063291136</v>
      </c>
      <c r="AM77">
        <v>16</v>
      </c>
      <c r="AN77" s="3">
        <f t="shared" si="47"/>
        <v>2.5316455696202533</v>
      </c>
      <c r="AO77">
        <v>13</v>
      </c>
      <c r="AP77" s="3">
        <f t="shared" si="48"/>
        <v>2.0569620253164556</v>
      </c>
      <c r="AQ77">
        <v>16</v>
      </c>
      <c r="AR77" s="3">
        <f t="shared" si="49"/>
        <v>2.5316455696202533</v>
      </c>
      <c r="AS77">
        <v>38</v>
      </c>
      <c r="AT77" s="3">
        <f t="shared" si="50"/>
        <v>6.0126582278481013</v>
      </c>
      <c r="AU77" t="s">
        <v>368</v>
      </c>
      <c r="AV77" s="72" t="str">
        <f>Дума_партии[[#This Row],[КОИБ]]</f>
        <v>N</v>
      </c>
      <c r="AW77" s="1" t="str">
        <f>IF(Дума_партии[[#This Row],[Наблюдателей]]=0,"",Дума_партии[[#This Row],[Наблюдателей]])</f>
        <v/>
      </c>
      <c r="AX77"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199.89041095890411</v>
      </c>
      <c r="AY77" s="10">
        <f>2*(Мособлдума_партии[[#This Row],[6. Всероссийская политическая партия "ЕДИНАЯ РОССИЯ"]]-(AB$203/100)*Мособлдума_партии[[#This Row],[Число действительных бюллетеней]])</f>
        <v>291.83999999999997</v>
      </c>
      <c r="AZ77" s="10">
        <f>(Мособлдума_партии[[#This Row],[Вброс]]+Мособлдума_партии[[#This Row],[Перекладывание]])/2</f>
        <v>245.86520547945204</v>
      </c>
    </row>
    <row r="78" spans="2:52" x14ac:dyDescent="0.4">
      <c r="B78" t="s">
        <v>74</v>
      </c>
      <c r="C78" t="s">
        <v>366</v>
      </c>
      <c r="D78" t="s">
        <v>138</v>
      </c>
      <c r="E78" t="s">
        <v>206</v>
      </c>
      <c r="F78" s="8">
        <f t="shared" ca="1" si="35"/>
        <v>3963</v>
      </c>
      <c r="G78" s="8" t="str">
        <f>Дума_партии[[#This Row],[Местоположение]]</f>
        <v>Летний Отдых</v>
      </c>
      <c r="H78" s="2" t="str">
        <f>LEFT(Мособлдума_партии[[#This Row],[tik]],4)&amp;"."&amp;IF(ISNUMBER(VALUE(RIGHT(Мособлдума_партии[[#This Row],[tik]]))),RIGHT(Мособлдума_партии[[#This Row],[tik]]),"")</f>
        <v>Один.</v>
      </c>
      <c r="I78">
        <v>2038</v>
      </c>
      <c r="J78" s="8">
        <f>Мособлдума_партии[[#This Row],[Число избирателей, внесенных в список на момент окончания голосования]]</f>
        <v>2038</v>
      </c>
      <c r="K78">
        <v>1500</v>
      </c>
      <c r="L78" s="1"/>
      <c r="M78">
        <v>821</v>
      </c>
      <c r="N78">
        <v>273</v>
      </c>
      <c r="O78" s="3">
        <f t="shared" si="36"/>
        <v>53.680078508341509</v>
      </c>
      <c r="P78" s="3">
        <f t="shared" si="37"/>
        <v>13.3954857703631</v>
      </c>
      <c r="Q78">
        <v>406</v>
      </c>
      <c r="R78">
        <v>270</v>
      </c>
      <c r="S78">
        <v>821</v>
      </c>
      <c r="T78" s="1">
        <f t="shared" si="38"/>
        <v>1091</v>
      </c>
      <c r="U78" s="3">
        <f t="shared" si="39"/>
        <v>24.747937671860679</v>
      </c>
      <c r="V78">
        <v>48</v>
      </c>
      <c r="W78" s="3">
        <f t="shared" si="40"/>
        <v>4.399633363886343</v>
      </c>
      <c r="X78">
        <v>1043</v>
      </c>
      <c r="Y78">
        <v>0</v>
      </c>
      <c r="Z78">
        <v>0</v>
      </c>
      <c r="AA78">
        <v>12</v>
      </c>
      <c r="AB78" s="3">
        <f t="shared" si="41"/>
        <v>1.0999083409715857</v>
      </c>
      <c r="AC78">
        <v>105</v>
      </c>
      <c r="AD78" s="3">
        <f t="shared" si="42"/>
        <v>9.6241979835013751</v>
      </c>
      <c r="AE78">
        <v>53</v>
      </c>
      <c r="AF78" s="3">
        <f t="shared" si="43"/>
        <v>4.8579285059578368</v>
      </c>
      <c r="AG78">
        <v>56</v>
      </c>
      <c r="AH78" s="3">
        <f t="shared" si="44"/>
        <v>5.1329055912007329</v>
      </c>
      <c r="AI78">
        <v>194</v>
      </c>
      <c r="AJ78" s="3">
        <f t="shared" si="45"/>
        <v>17.781851512373969</v>
      </c>
      <c r="AK78">
        <v>474</v>
      </c>
      <c r="AL78" s="3">
        <f t="shared" si="46"/>
        <v>43.446379468377636</v>
      </c>
      <c r="AM78">
        <v>20</v>
      </c>
      <c r="AN78" s="3">
        <f t="shared" si="47"/>
        <v>1.8331805682859761</v>
      </c>
      <c r="AO78">
        <v>12</v>
      </c>
      <c r="AP78" s="3">
        <f t="shared" si="48"/>
        <v>1.0999083409715857</v>
      </c>
      <c r="AQ78">
        <v>51</v>
      </c>
      <c r="AR78" s="3">
        <f t="shared" si="49"/>
        <v>4.6746104491292391</v>
      </c>
      <c r="AS78">
        <v>66</v>
      </c>
      <c r="AT78" s="3">
        <f t="shared" si="50"/>
        <v>6.0494958753437214</v>
      </c>
      <c r="AU78" t="s">
        <v>368</v>
      </c>
      <c r="AV78" s="72">
        <f>Дума_партии[[#This Row],[КОИБ]]</f>
        <v>2017</v>
      </c>
      <c r="AW78" s="1" t="str">
        <f>IF(Дума_партии[[#This Row],[Наблюдателей]]=0,"",Дума_партии[[#This Row],[Наблюдателей]])</f>
        <v/>
      </c>
      <c r="AX78"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263.54794520547944</v>
      </c>
      <c r="AY78" s="10">
        <f>2*(Мособлдума_партии[[#This Row],[6. Всероссийская политическая партия "ЕДИНАЯ РОССИЯ"]]-(AB$203/100)*Мособлдума_партии[[#This Row],[Число действительных бюллетеней]])</f>
        <v>384.78</v>
      </c>
      <c r="AZ78" s="10">
        <f>(Мособлдума_партии[[#This Row],[Вброс]]+Мособлдума_партии[[#This Row],[Перекладывание]])/2</f>
        <v>324.1639726027397</v>
      </c>
    </row>
    <row r="79" spans="2:52" x14ac:dyDescent="0.4">
      <c r="B79" t="s">
        <v>74</v>
      </c>
      <c r="C79" t="s">
        <v>366</v>
      </c>
      <c r="D79" t="s">
        <v>138</v>
      </c>
      <c r="E79" t="s">
        <v>207</v>
      </c>
      <c r="F79" s="8">
        <f t="shared" ca="1" si="35"/>
        <v>3965</v>
      </c>
      <c r="G79" s="8" t="str">
        <f>Дума_партии[[#This Row],[Местоположение]]</f>
        <v>Хлюпино</v>
      </c>
      <c r="H79" s="2" t="str">
        <f>LEFT(Мособлдума_партии[[#This Row],[tik]],4)&amp;"."&amp;IF(ISNUMBER(VALUE(RIGHT(Мособлдума_партии[[#This Row],[tik]]))),RIGHT(Мособлдума_партии[[#This Row],[tik]]),"")</f>
        <v>Один.</v>
      </c>
      <c r="I79">
        <v>1190</v>
      </c>
      <c r="J79" s="8">
        <f>Мособлдума_партии[[#This Row],[Число избирателей, внесенных в список на момент окончания голосования]]</f>
        <v>1190</v>
      </c>
      <c r="K79">
        <v>1000</v>
      </c>
      <c r="L79" s="1"/>
      <c r="M79">
        <v>528</v>
      </c>
      <c r="N79">
        <v>238</v>
      </c>
      <c r="O79" s="3">
        <f t="shared" si="36"/>
        <v>64.369747899159663</v>
      </c>
      <c r="P79" s="3">
        <f t="shared" si="37"/>
        <v>20</v>
      </c>
      <c r="Q79">
        <v>234</v>
      </c>
      <c r="R79">
        <v>237</v>
      </c>
      <c r="S79">
        <v>380</v>
      </c>
      <c r="T79" s="1">
        <f t="shared" si="38"/>
        <v>617</v>
      </c>
      <c r="U79" s="3">
        <f t="shared" si="39"/>
        <v>38.411669367909241</v>
      </c>
      <c r="V79">
        <v>14</v>
      </c>
      <c r="W79" s="3">
        <f t="shared" si="40"/>
        <v>2.2690437601296596</v>
      </c>
      <c r="X79">
        <v>603</v>
      </c>
      <c r="Y79">
        <v>0</v>
      </c>
      <c r="Z79">
        <v>0</v>
      </c>
      <c r="AA79">
        <v>9</v>
      </c>
      <c r="AB79" s="3">
        <f t="shared" si="41"/>
        <v>1.4586709886547813</v>
      </c>
      <c r="AC79">
        <v>47</v>
      </c>
      <c r="AD79" s="3">
        <f t="shared" si="42"/>
        <v>7.6175040518638575</v>
      </c>
      <c r="AE79">
        <v>32</v>
      </c>
      <c r="AF79" s="3">
        <f t="shared" si="43"/>
        <v>5.1863857374392222</v>
      </c>
      <c r="AG79">
        <v>31</v>
      </c>
      <c r="AH79" s="3">
        <f t="shared" si="44"/>
        <v>5.0243111831442464</v>
      </c>
      <c r="AI79">
        <v>97</v>
      </c>
      <c r="AJ79" s="3">
        <f t="shared" si="45"/>
        <v>15.721231766612641</v>
      </c>
      <c r="AK79">
        <v>304</v>
      </c>
      <c r="AL79" s="3">
        <f t="shared" si="46"/>
        <v>49.270664505672606</v>
      </c>
      <c r="AM79">
        <v>10</v>
      </c>
      <c r="AN79" s="3">
        <f t="shared" si="47"/>
        <v>1.6207455429497568</v>
      </c>
      <c r="AO79">
        <v>8</v>
      </c>
      <c r="AP79" s="3">
        <f t="shared" si="48"/>
        <v>1.2965964343598055</v>
      </c>
      <c r="AQ79">
        <v>22</v>
      </c>
      <c r="AR79" s="3">
        <f t="shared" si="49"/>
        <v>3.5656401944894651</v>
      </c>
      <c r="AS79">
        <v>43</v>
      </c>
      <c r="AT79" s="3">
        <f t="shared" si="50"/>
        <v>6.9692058346839545</v>
      </c>
      <c r="AU79" t="s">
        <v>368</v>
      </c>
      <c r="AV79" s="72">
        <f>Дума_партии[[#This Row],[КОИБ]]</f>
        <v>2017</v>
      </c>
      <c r="AW79" s="1" t="str">
        <f>IF(Дума_партии[[#This Row],[Наблюдателей]]=0,"",Дума_партии[[#This Row],[Наблюдателей]])</f>
        <v/>
      </c>
      <c r="AX79"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193.41095890410958</v>
      </c>
      <c r="AY79" s="10">
        <f>2*(Мособлдума_партии[[#This Row],[6. Всероссийская политическая партия "ЕДИНАЯ РОССИЯ"]]-(AB$203/100)*Мособлдума_партии[[#This Row],[Число действительных бюллетеней]])</f>
        <v>282.38</v>
      </c>
      <c r="AZ79" s="10">
        <f>(Мособлдума_партии[[#This Row],[Вброс]]+Мособлдума_партии[[#This Row],[Перекладывание]])/2</f>
        <v>237.89547945205479</v>
      </c>
    </row>
    <row r="80" spans="2:52" x14ac:dyDescent="0.4">
      <c r="B80" t="s">
        <v>74</v>
      </c>
      <c r="C80" t="s">
        <v>366</v>
      </c>
      <c r="D80" t="s">
        <v>138</v>
      </c>
      <c r="E80" t="s">
        <v>208</v>
      </c>
      <c r="F80" s="8">
        <f t="shared" ca="1" si="35"/>
        <v>3966</v>
      </c>
      <c r="G80" s="8" t="str">
        <f>Дума_партии[[#This Row],[Местоположение]]</f>
        <v>Введенское</v>
      </c>
      <c r="H80" s="2" t="str">
        <f>LEFT(Мособлдума_партии[[#This Row],[tik]],4)&amp;"."&amp;IF(ISNUMBER(VALUE(RIGHT(Мособлдума_партии[[#This Row],[tik]]))),RIGHT(Мособлдума_партии[[#This Row],[tik]]),"")</f>
        <v>Один.</v>
      </c>
      <c r="I80">
        <v>1521</v>
      </c>
      <c r="J80" s="8">
        <f>Мособлдума_партии[[#This Row],[Число избирателей, внесенных в список на момент окончания голосования]]</f>
        <v>1521</v>
      </c>
      <c r="K80">
        <v>1300</v>
      </c>
      <c r="L80" s="1"/>
      <c r="M80">
        <v>448</v>
      </c>
      <c r="N80">
        <v>295</v>
      </c>
      <c r="O80" s="3">
        <f t="shared" si="36"/>
        <v>48.849441157133462</v>
      </c>
      <c r="P80" s="3">
        <f t="shared" si="37"/>
        <v>19.395134779750165</v>
      </c>
      <c r="Q80">
        <v>557</v>
      </c>
      <c r="R80">
        <v>295</v>
      </c>
      <c r="S80">
        <v>448</v>
      </c>
      <c r="T80" s="1">
        <f t="shared" si="38"/>
        <v>743</v>
      </c>
      <c r="U80" s="3">
        <f t="shared" si="39"/>
        <v>39.703903095558545</v>
      </c>
      <c r="V80">
        <v>29</v>
      </c>
      <c r="W80" s="3">
        <f t="shared" si="40"/>
        <v>3.9030955585464335</v>
      </c>
      <c r="X80">
        <v>714</v>
      </c>
      <c r="Y80">
        <v>0</v>
      </c>
      <c r="Z80">
        <v>0</v>
      </c>
      <c r="AA80">
        <v>11</v>
      </c>
      <c r="AB80" s="3">
        <f t="shared" si="41"/>
        <v>1.4804845222072678</v>
      </c>
      <c r="AC80">
        <v>76</v>
      </c>
      <c r="AD80" s="3">
        <f t="shared" si="42"/>
        <v>10.228802153432031</v>
      </c>
      <c r="AE80">
        <v>53</v>
      </c>
      <c r="AF80" s="3">
        <f t="shared" si="43"/>
        <v>7.1332436069986542</v>
      </c>
      <c r="AG80">
        <v>49</v>
      </c>
      <c r="AH80" s="3">
        <f t="shared" si="44"/>
        <v>6.594885598923284</v>
      </c>
      <c r="AI80">
        <v>107</v>
      </c>
      <c r="AJ80" s="3">
        <f t="shared" si="45"/>
        <v>14.401076716016151</v>
      </c>
      <c r="AK80">
        <v>324</v>
      </c>
      <c r="AL80" s="3">
        <f t="shared" si="46"/>
        <v>43.606998654104977</v>
      </c>
      <c r="AM80">
        <v>11</v>
      </c>
      <c r="AN80" s="3">
        <f t="shared" si="47"/>
        <v>1.4804845222072678</v>
      </c>
      <c r="AO80">
        <v>16</v>
      </c>
      <c r="AP80" s="3">
        <f t="shared" si="48"/>
        <v>2.1534320323014806</v>
      </c>
      <c r="AQ80">
        <v>18</v>
      </c>
      <c r="AR80" s="3">
        <f t="shared" si="49"/>
        <v>2.4226110363391657</v>
      </c>
      <c r="AS80">
        <v>49</v>
      </c>
      <c r="AT80" s="3">
        <f t="shared" si="50"/>
        <v>6.594885598923284</v>
      </c>
      <c r="AU80" t="s">
        <v>368</v>
      </c>
      <c r="AV80" s="72">
        <f>Дума_партии[[#This Row],[КОИБ]]</f>
        <v>2017</v>
      </c>
      <c r="AW80" s="1" t="str">
        <f>IF(Дума_партии[[#This Row],[Наблюдателей]]=0,"",Дума_партии[[#This Row],[Наблюдателей]])</f>
        <v/>
      </c>
      <c r="AX80"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179.75342465753423</v>
      </c>
      <c r="AY80" s="10">
        <f>2*(Мособлдума_партии[[#This Row],[6. Всероссийская политическая партия "ЕДИНАЯ РОССИЯ"]]-(AB$203/100)*Мособлдума_партии[[#This Row],[Число действительных бюллетеней]])</f>
        <v>262.44</v>
      </c>
      <c r="AZ80" s="10">
        <f>(Мособлдума_партии[[#This Row],[Вброс]]+Мособлдума_партии[[#This Row],[Перекладывание]])/2</f>
        <v>221.09671232876713</v>
      </c>
    </row>
    <row r="81" spans="2:52" x14ac:dyDescent="0.4">
      <c r="B81" t="s">
        <v>74</v>
      </c>
      <c r="C81" t="s">
        <v>366</v>
      </c>
      <c r="D81" t="s">
        <v>138</v>
      </c>
      <c r="E81" t="s">
        <v>209</v>
      </c>
      <c r="F81" s="8">
        <f t="shared" ca="1" si="35"/>
        <v>3968</v>
      </c>
      <c r="G81" s="8" t="str">
        <f>Дума_партии[[#This Row],[Местоположение]]</f>
        <v>Гигирево</v>
      </c>
      <c r="H81" s="2" t="str">
        <f>LEFT(Мособлдума_партии[[#This Row],[tik]],4)&amp;"."&amp;IF(ISNUMBER(VALUE(RIGHT(Мособлдума_партии[[#This Row],[tik]]))),RIGHT(Мособлдума_партии[[#This Row],[tik]]),"")</f>
        <v>Один.</v>
      </c>
      <c r="I81">
        <v>710</v>
      </c>
      <c r="J81" s="8">
        <f>Мособлдума_партии[[#This Row],[Число избирателей, внесенных в список на момент окончания голосования]]</f>
        <v>710</v>
      </c>
      <c r="K81">
        <v>650</v>
      </c>
      <c r="L81" s="1"/>
      <c r="M81">
        <v>188</v>
      </c>
      <c r="N81">
        <v>98</v>
      </c>
      <c r="O81" s="3">
        <f t="shared" si="36"/>
        <v>40.281690140845072</v>
      </c>
      <c r="P81" s="3">
        <f t="shared" si="37"/>
        <v>13.80281690140845</v>
      </c>
      <c r="Q81">
        <v>364</v>
      </c>
      <c r="R81">
        <v>98</v>
      </c>
      <c r="S81">
        <v>188</v>
      </c>
      <c r="T81" s="1">
        <f t="shared" si="38"/>
        <v>286</v>
      </c>
      <c r="U81" s="3">
        <f t="shared" si="39"/>
        <v>34.265734265734267</v>
      </c>
      <c r="V81">
        <v>12</v>
      </c>
      <c r="W81" s="3">
        <f t="shared" si="40"/>
        <v>4.1958041958041958</v>
      </c>
      <c r="X81">
        <v>274</v>
      </c>
      <c r="Y81">
        <v>0</v>
      </c>
      <c r="Z81">
        <v>0</v>
      </c>
      <c r="AA81">
        <v>6</v>
      </c>
      <c r="AB81" s="3">
        <f t="shared" si="41"/>
        <v>2.0979020979020979</v>
      </c>
      <c r="AC81">
        <v>30</v>
      </c>
      <c r="AD81" s="3">
        <f t="shared" si="42"/>
        <v>10.48951048951049</v>
      </c>
      <c r="AE81">
        <v>8</v>
      </c>
      <c r="AF81" s="3">
        <f t="shared" si="43"/>
        <v>2.7972027972027971</v>
      </c>
      <c r="AG81">
        <v>19</v>
      </c>
      <c r="AH81" s="3">
        <f t="shared" si="44"/>
        <v>6.6433566433566433</v>
      </c>
      <c r="AI81">
        <v>55</v>
      </c>
      <c r="AJ81" s="3">
        <f t="shared" si="45"/>
        <v>19.23076923076923</v>
      </c>
      <c r="AK81">
        <v>102</v>
      </c>
      <c r="AL81" s="3">
        <f t="shared" si="46"/>
        <v>35.664335664335667</v>
      </c>
      <c r="AM81">
        <v>11</v>
      </c>
      <c r="AN81" s="3">
        <f t="shared" si="47"/>
        <v>3.8461538461538463</v>
      </c>
      <c r="AO81">
        <v>4</v>
      </c>
      <c r="AP81" s="3">
        <f t="shared" si="48"/>
        <v>1.3986013986013985</v>
      </c>
      <c r="AQ81">
        <v>9</v>
      </c>
      <c r="AR81" s="3">
        <f t="shared" si="49"/>
        <v>3.1468531468531467</v>
      </c>
      <c r="AS81">
        <v>30</v>
      </c>
      <c r="AT81" s="3">
        <f t="shared" si="50"/>
        <v>10.48951048951049</v>
      </c>
      <c r="AU81" t="s">
        <v>368</v>
      </c>
      <c r="AV81" s="72">
        <f>Дума_партии[[#This Row],[КОИБ]]</f>
        <v>2017</v>
      </c>
      <c r="AW81" s="1" t="str">
        <f>IF(Дума_партии[[#This Row],[Наблюдателей]]=0,"",Дума_партии[[#This Row],[Наблюдателей]])</f>
        <v/>
      </c>
      <c r="AX81"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38.383561643835613</v>
      </c>
      <c r="AY81" s="10">
        <f>2*(Мособлдума_партии[[#This Row],[6. Всероссийская политическая партия "ЕДИНАЯ РОССИЯ"]]-(AB$203/100)*Мособлдума_партии[[#This Row],[Число действительных бюллетеней]])</f>
        <v>56.039999999999992</v>
      </c>
      <c r="AZ81" s="10">
        <f>(Мособлдума_партии[[#This Row],[Вброс]]+Мособлдума_партии[[#This Row],[Перекладывание]])/2</f>
        <v>47.211780821917799</v>
      </c>
    </row>
    <row r="82" spans="2:52" x14ac:dyDescent="0.4">
      <c r="B82" t="s">
        <v>74</v>
      </c>
      <c r="C82" t="s">
        <v>366</v>
      </c>
      <c r="D82" t="s">
        <v>138</v>
      </c>
      <c r="E82" t="s">
        <v>210</v>
      </c>
      <c r="F82" s="8">
        <f t="shared" ca="1" si="35"/>
        <v>3969</v>
      </c>
      <c r="G82" s="8" t="str">
        <f>Дума_партии[[#This Row],[Местоположение]]</f>
        <v>Новый Городок</v>
      </c>
      <c r="H82" s="2" t="str">
        <f>LEFT(Мособлдума_партии[[#This Row],[tik]],4)&amp;"."&amp;IF(ISNUMBER(VALUE(RIGHT(Мособлдума_партии[[#This Row],[tik]]))),RIGHT(Мособлдума_партии[[#This Row],[tik]]),"")</f>
        <v>Один.</v>
      </c>
      <c r="I82">
        <v>1525</v>
      </c>
      <c r="J82" s="8">
        <f>Мособлдума_партии[[#This Row],[Число избирателей, внесенных в список на момент окончания голосования]]</f>
        <v>1525</v>
      </c>
      <c r="K82">
        <v>1300</v>
      </c>
      <c r="L82" s="1"/>
      <c r="M82">
        <v>680</v>
      </c>
      <c r="N82">
        <v>95</v>
      </c>
      <c r="O82" s="3">
        <f t="shared" si="36"/>
        <v>50.819672131147541</v>
      </c>
      <c r="P82" s="3">
        <f t="shared" si="37"/>
        <v>6.2295081967213113</v>
      </c>
      <c r="Q82">
        <v>525</v>
      </c>
      <c r="R82">
        <v>95</v>
      </c>
      <c r="S82">
        <v>680</v>
      </c>
      <c r="T82" s="1">
        <f t="shared" si="38"/>
        <v>775</v>
      </c>
      <c r="U82" s="3">
        <f t="shared" si="39"/>
        <v>12.258064516129032</v>
      </c>
      <c r="V82">
        <v>47</v>
      </c>
      <c r="W82" s="3">
        <f t="shared" si="40"/>
        <v>6.064516129032258</v>
      </c>
      <c r="X82">
        <v>728</v>
      </c>
      <c r="Y82">
        <v>0</v>
      </c>
      <c r="Z82">
        <v>0</v>
      </c>
      <c r="AA82">
        <v>13</v>
      </c>
      <c r="AB82" s="3">
        <f t="shared" si="41"/>
        <v>1.6774193548387097</v>
      </c>
      <c r="AC82">
        <v>58</v>
      </c>
      <c r="AD82" s="3">
        <f t="shared" si="42"/>
        <v>7.4838709677419351</v>
      </c>
      <c r="AE82">
        <v>57</v>
      </c>
      <c r="AF82" s="3">
        <f t="shared" si="43"/>
        <v>7.354838709677419</v>
      </c>
      <c r="AG82">
        <v>55</v>
      </c>
      <c r="AH82" s="3">
        <f t="shared" si="44"/>
        <v>7.096774193548387</v>
      </c>
      <c r="AI82">
        <v>164</v>
      </c>
      <c r="AJ82" s="3">
        <f t="shared" si="45"/>
        <v>21.161290322580644</v>
      </c>
      <c r="AK82">
        <v>265</v>
      </c>
      <c r="AL82" s="3">
        <f t="shared" si="46"/>
        <v>34.193548387096776</v>
      </c>
      <c r="AM82">
        <v>16</v>
      </c>
      <c r="AN82" s="3">
        <f t="shared" si="47"/>
        <v>2.064516129032258</v>
      </c>
      <c r="AO82">
        <v>7</v>
      </c>
      <c r="AP82" s="3">
        <f t="shared" si="48"/>
        <v>0.90322580645161288</v>
      </c>
      <c r="AQ82">
        <v>21</v>
      </c>
      <c r="AR82" s="3">
        <f t="shared" si="49"/>
        <v>2.7096774193548385</v>
      </c>
      <c r="AS82">
        <v>72</v>
      </c>
      <c r="AT82" s="3">
        <f t="shared" si="50"/>
        <v>9.2903225806451619</v>
      </c>
      <c r="AU82" t="s">
        <v>368</v>
      </c>
      <c r="AV82" s="72">
        <f>Дума_партии[[#This Row],[КОИБ]]</f>
        <v>2017</v>
      </c>
      <c r="AW82" s="1" t="str">
        <f>IF(Дума_партии[[#This Row],[Наблюдателей]]=0,"",Дума_партии[[#This Row],[Наблюдателей]])</f>
        <v/>
      </c>
      <c r="AX82"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93.753424657534225</v>
      </c>
      <c r="AY82" s="10">
        <f>2*(Мособлдума_партии[[#This Row],[6. Всероссийская политическая партия "ЕДИНАЯ РОССИЯ"]]-(AB$203/100)*Мособлдума_партии[[#This Row],[Число действительных бюллетеней]])</f>
        <v>136.88</v>
      </c>
      <c r="AZ82" s="10">
        <f>(Мособлдума_партии[[#This Row],[Вброс]]+Мособлдума_партии[[#This Row],[Перекладывание]])/2</f>
        <v>115.31671232876711</v>
      </c>
    </row>
    <row r="83" spans="2:52" x14ac:dyDescent="0.4">
      <c r="B83" t="s">
        <v>74</v>
      </c>
      <c r="C83" t="s">
        <v>366</v>
      </c>
      <c r="D83" t="s">
        <v>138</v>
      </c>
      <c r="E83" t="s">
        <v>211</v>
      </c>
      <c r="F83" s="8">
        <f t="shared" ca="1" si="35"/>
        <v>3971</v>
      </c>
      <c r="G83" s="8" t="str">
        <f>Дума_партии[[#This Row],[Местоположение]]</f>
        <v>Новый Городок</v>
      </c>
      <c r="H83" s="2" t="str">
        <f>LEFT(Мособлдума_партии[[#This Row],[tik]],4)&amp;"."&amp;IF(ISNUMBER(VALUE(RIGHT(Мособлдума_партии[[#This Row],[tik]]))),RIGHT(Мособлдума_партии[[#This Row],[tik]]),"")</f>
        <v>Один.</v>
      </c>
      <c r="I83">
        <v>1495</v>
      </c>
      <c r="J83" s="8">
        <f>Мособлдума_партии[[#This Row],[Число избирателей, внесенных в список на момент окончания голосования]]</f>
        <v>1495</v>
      </c>
      <c r="K83">
        <v>1300</v>
      </c>
      <c r="L83" s="1"/>
      <c r="M83">
        <v>577</v>
      </c>
      <c r="N83">
        <v>15</v>
      </c>
      <c r="O83" s="3">
        <f t="shared" si="36"/>
        <v>39.598662207357862</v>
      </c>
      <c r="P83" s="3">
        <f t="shared" si="37"/>
        <v>1.0033444816053512</v>
      </c>
      <c r="Q83">
        <v>708</v>
      </c>
      <c r="R83">
        <v>15</v>
      </c>
      <c r="S83">
        <v>577</v>
      </c>
      <c r="T83" s="1">
        <f t="shared" si="38"/>
        <v>592</v>
      </c>
      <c r="U83" s="3">
        <f t="shared" si="39"/>
        <v>2.5337837837837838</v>
      </c>
      <c r="V83">
        <v>35</v>
      </c>
      <c r="W83" s="3">
        <f t="shared" si="40"/>
        <v>5.9121621621621623</v>
      </c>
      <c r="X83">
        <v>557</v>
      </c>
      <c r="Y83">
        <v>0</v>
      </c>
      <c r="Z83">
        <v>0</v>
      </c>
      <c r="AA83">
        <v>14</v>
      </c>
      <c r="AB83" s="3">
        <f t="shared" si="41"/>
        <v>2.3648648648648649</v>
      </c>
      <c r="AC83">
        <v>60</v>
      </c>
      <c r="AD83" s="3">
        <f t="shared" si="42"/>
        <v>10.135135135135135</v>
      </c>
      <c r="AE83">
        <v>67</v>
      </c>
      <c r="AF83" s="3">
        <f t="shared" si="43"/>
        <v>11.317567567567568</v>
      </c>
      <c r="AG83">
        <v>47</v>
      </c>
      <c r="AH83" s="3">
        <f t="shared" si="44"/>
        <v>7.9391891891891895</v>
      </c>
      <c r="AI83">
        <v>155</v>
      </c>
      <c r="AJ83" s="3">
        <f t="shared" si="45"/>
        <v>26.182432432432432</v>
      </c>
      <c r="AK83">
        <v>137</v>
      </c>
      <c r="AL83" s="3">
        <f t="shared" si="46"/>
        <v>23.141891891891891</v>
      </c>
      <c r="AM83">
        <v>6</v>
      </c>
      <c r="AN83" s="3">
        <f t="shared" si="47"/>
        <v>1.0135135135135136</v>
      </c>
      <c r="AO83">
        <v>10</v>
      </c>
      <c r="AP83" s="3">
        <f t="shared" si="48"/>
        <v>1.6891891891891893</v>
      </c>
      <c r="AQ83">
        <v>13</v>
      </c>
      <c r="AR83" s="3">
        <f t="shared" si="49"/>
        <v>2.1959459459459461</v>
      </c>
      <c r="AS83">
        <v>48</v>
      </c>
      <c r="AT83" s="3">
        <f t="shared" si="50"/>
        <v>8.1081081081081088</v>
      </c>
      <c r="AU83" t="s">
        <v>368</v>
      </c>
      <c r="AV83" s="72">
        <f>Дума_партии[[#This Row],[КОИБ]]</f>
        <v>2017</v>
      </c>
      <c r="AW83" s="1" t="str">
        <f>IF(Дума_партии[[#This Row],[Наблюдателей]]=0,"",Дума_партии[[#This Row],[Наблюдателей]])</f>
        <v/>
      </c>
      <c r="AX83"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-18.342465753424676</v>
      </c>
      <c r="AY83" s="10">
        <f>2*(Мособлдума_партии[[#This Row],[6. Всероссийская политическая партия "ЕДИНАЯ РОССИЯ"]]-(AB$203/100)*Мособлдума_партии[[#This Row],[Число действительных бюллетеней]])</f>
        <v>-26.78000000000003</v>
      </c>
      <c r="AZ83" s="10">
        <f>(Мособлдума_партии[[#This Row],[Вброс]]+Мособлдума_партии[[#This Row],[Перекладывание]])/2</f>
        <v>-22.561232876712353</v>
      </c>
    </row>
    <row r="84" spans="2:52" x14ac:dyDescent="0.4">
      <c r="B84" t="s">
        <v>74</v>
      </c>
      <c r="C84" t="s">
        <v>366</v>
      </c>
      <c r="D84" t="s">
        <v>138</v>
      </c>
      <c r="E84" t="s">
        <v>212</v>
      </c>
      <c r="F84" s="8">
        <f t="shared" ca="1" si="35"/>
        <v>3972</v>
      </c>
      <c r="G84" s="8" t="str">
        <f>Дума_партии[[#This Row],[Местоположение]]</f>
        <v>Новый Городок</v>
      </c>
      <c r="H84" s="2" t="str">
        <f>LEFT(Мособлдума_партии[[#This Row],[tik]],4)&amp;"."&amp;IF(ISNUMBER(VALUE(RIGHT(Мособлдума_партии[[#This Row],[tik]]))),RIGHT(Мособлдума_партии[[#This Row],[tik]]),"")</f>
        <v>Один.</v>
      </c>
      <c r="I84">
        <v>1808</v>
      </c>
      <c r="J84" s="8">
        <f>Мособлдума_партии[[#This Row],[Число избирателей, внесенных в список на момент окончания голосования]]</f>
        <v>1808</v>
      </c>
      <c r="K84">
        <v>1500</v>
      </c>
      <c r="L84" s="1"/>
      <c r="M84">
        <v>830</v>
      </c>
      <c r="N84">
        <v>83</v>
      </c>
      <c r="O84" s="3">
        <f t="shared" si="36"/>
        <v>50.497787610619469</v>
      </c>
      <c r="P84" s="3">
        <f t="shared" si="37"/>
        <v>4.5907079646017701</v>
      </c>
      <c r="Q84">
        <v>587</v>
      </c>
      <c r="R84">
        <v>83</v>
      </c>
      <c r="S84">
        <v>830</v>
      </c>
      <c r="T84" s="1">
        <f t="shared" si="38"/>
        <v>913</v>
      </c>
      <c r="U84" s="3">
        <f t="shared" si="39"/>
        <v>9.0909090909090917</v>
      </c>
      <c r="V84">
        <v>52</v>
      </c>
      <c r="W84" s="3">
        <f t="shared" si="40"/>
        <v>5.6955093099671412</v>
      </c>
      <c r="X84">
        <v>861</v>
      </c>
      <c r="Y84">
        <v>0</v>
      </c>
      <c r="Z84">
        <v>0</v>
      </c>
      <c r="AA84">
        <v>25</v>
      </c>
      <c r="AB84" s="3">
        <f t="shared" si="41"/>
        <v>2.738225629791895</v>
      </c>
      <c r="AC84">
        <v>108</v>
      </c>
      <c r="AD84" s="3">
        <f t="shared" si="42"/>
        <v>11.829134720700985</v>
      </c>
      <c r="AE84">
        <v>88</v>
      </c>
      <c r="AF84" s="3">
        <f t="shared" si="43"/>
        <v>9.6385542168674707</v>
      </c>
      <c r="AG84">
        <v>52</v>
      </c>
      <c r="AH84" s="3">
        <f t="shared" si="44"/>
        <v>5.6955093099671412</v>
      </c>
      <c r="AI84">
        <v>165</v>
      </c>
      <c r="AJ84" s="3">
        <f t="shared" si="45"/>
        <v>18.072289156626507</v>
      </c>
      <c r="AK84">
        <v>271</v>
      </c>
      <c r="AL84" s="3">
        <f t="shared" si="46"/>
        <v>29.682365826944139</v>
      </c>
      <c r="AM84">
        <v>33</v>
      </c>
      <c r="AN84" s="3">
        <f t="shared" si="47"/>
        <v>3.6144578313253013</v>
      </c>
      <c r="AO84">
        <v>18</v>
      </c>
      <c r="AP84" s="3">
        <f t="shared" si="48"/>
        <v>1.9715224534501643</v>
      </c>
      <c r="AQ84">
        <v>37</v>
      </c>
      <c r="AR84" s="3">
        <f t="shared" si="49"/>
        <v>4.0525739320920042</v>
      </c>
      <c r="AS84">
        <v>64</v>
      </c>
      <c r="AT84" s="3">
        <f t="shared" si="50"/>
        <v>7.0098576122672505</v>
      </c>
      <c r="AU84" t="s">
        <v>368</v>
      </c>
      <c r="AV84" s="72">
        <f>Дума_партии[[#This Row],[КОИБ]]</f>
        <v>2017</v>
      </c>
      <c r="AW84" s="1" t="str">
        <f>IF(Дума_партии[[#This Row],[Наблюдателей]]=0,"",Дума_партии[[#This Row],[Наблюдателей]])</f>
        <v/>
      </c>
      <c r="AX84"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52.780821917808197</v>
      </c>
      <c r="AY84" s="10">
        <f>2*(Мособлдума_партии[[#This Row],[6. Всероссийская политическая партия "ЕДИНАЯ РОССИЯ"]]-(AB$203/100)*Мособлдума_партии[[#This Row],[Число действительных бюллетеней]])</f>
        <v>77.059999999999945</v>
      </c>
      <c r="AZ84" s="10">
        <f>(Мособлдума_партии[[#This Row],[Вброс]]+Мособлдума_партии[[#This Row],[Перекладывание]])/2</f>
        <v>64.920410958904071</v>
      </c>
    </row>
    <row r="85" spans="2:52" x14ac:dyDescent="0.4">
      <c r="B85" t="s">
        <v>74</v>
      </c>
      <c r="C85" t="s">
        <v>366</v>
      </c>
      <c r="D85" t="s">
        <v>138</v>
      </c>
      <c r="E85" t="s">
        <v>213</v>
      </c>
      <c r="F85" s="8">
        <f t="shared" ca="1" si="35"/>
        <v>3974</v>
      </c>
      <c r="G85" s="8" t="str">
        <f>Дума_партии[[#This Row],[Местоположение]]</f>
        <v>пос. Санатория им. Герцена</v>
      </c>
      <c r="H85" s="2" t="str">
        <f>LEFT(Мособлдума_партии[[#This Row],[tik]],4)&amp;"."&amp;IF(ISNUMBER(VALUE(RIGHT(Мособлдума_партии[[#This Row],[tik]]))),RIGHT(Мособлдума_партии[[#This Row],[tik]]),"")</f>
        <v>Один.</v>
      </c>
      <c r="I85">
        <v>2012</v>
      </c>
      <c r="J85" s="8">
        <f>Мособлдума_партии[[#This Row],[Число избирателей, внесенных в список на момент окончания голосования]]</f>
        <v>2012</v>
      </c>
      <c r="K85">
        <v>1500</v>
      </c>
      <c r="L85" s="1"/>
      <c r="M85">
        <v>758</v>
      </c>
      <c r="N85">
        <v>133</v>
      </c>
      <c r="O85" s="3">
        <f t="shared" si="36"/>
        <v>44.284294234592444</v>
      </c>
      <c r="P85" s="3">
        <f t="shared" si="37"/>
        <v>6.6103379721669979</v>
      </c>
      <c r="Q85">
        <v>609</v>
      </c>
      <c r="R85">
        <v>133</v>
      </c>
      <c r="S85">
        <v>758</v>
      </c>
      <c r="T85" s="1">
        <f t="shared" si="38"/>
        <v>891</v>
      </c>
      <c r="U85" s="3">
        <f t="shared" si="39"/>
        <v>14.927048260381595</v>
      </c>
      <c r="V85">
        <v>75</v>
      </c>
      <c r="W85" s="3">
        <f t="shared" si="40"/>
        <v>8.4175084175084169</v>
      </c>
      <c r="X85">
        <v>816</v>
      </c>
      <c r="Y85">
        <v>0</v>
      </c>
      <c r="Z85">
        <v>0</v>
      </c>
      <c r="AA85">
        <v>23</v>
      </c>
      <c r="AB85" s="3">
        <f t="shared" si="41"/>
        <v>2.5813692480359145</v>
      </c>
      <c r="AC85">
        <v>98</v>
      </c>
      <c r="AD85" s="3">
        <f t="shared" si="42"/>
        <v>10.998877665544333</v>
      </c>
      <c r="AE85">
        <v>57</v>
      </c>
      <c r="AF85" s="3">
        <f t="shared" si="43"/>
        <v>6.3973063973063971</v>
      </c>
      <c r="AG85">
        <v>78</v>
      </c>
      <c r="AH85" s="3">
        <f t="shared" si="44"/>
        <v>8.7542087542087543</v>
      </c>
      <c r="AI85">
        <v>185</v>
      </c>
      <c r="AJ85" s="3">
        <f t="shared" si="45"/>
        <v>20.763187429854096</v>
      </c>
      <c r="AK85">
        <v>196</v>
      </c>
      <c r="AL85" s="3">
        <f t="shared" si="46"/>
        <v>21.997755331088666</v>
      </c>
      <c r="AM85">
        <v>21</v>
      </c>
      <c r="AN85" s="3">
        <f t="shared" si="47"/>
        <v>2.3569023569023568</v>
      </c>
      <c r="AO85">
        <v>19</v>
      </c>
      <c r="AP85" s="3">
        <f t="shared" si="48"/>
        <v>2.1324354657687992</v>
      </c>
      <c r="AQ85">
        <v>44</v>
      </c>
      <c r="AR85" s="3">
        <f t="shared" si="49"/>
        <v>4.9382716049382713</v>
      </c>
      <c r="AS85">
        <v>95</v>
      </c>
      <c r="AT85" s="3">
        <f t="shared" si="50"/>
        <v>10.662177328843995</v>
      </c>
      <c r="AU85" t="s">
        <v>368</v>
      </c>
      <c r="AV85" s="72">
        <f>Дума_партии[[#This Row],[КОИБ]]</f>
        <v>2017</v>
      </c>
      <c r="AW85" s="1" t="str">
        <f>IF(Дума_партии[[#This Row],[Наблюдателей]]=0,"",Дума_партии[[#This Row],[Наблюдателей]])</f>
        <v/>
      </c>
      <c r="AX85"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-33.315068493150704</v>
      </c>
      <c r="AY85" s="10">
        <f>2*(Мособлдума_партии[[#This Row],[6. Всероссийская политическая партия "ЕДИНАЯ РОССИЯ"]]-(AB$203/100)*Мособлдума_партии[[#This Row],[Число действительных бюллетеней]])</f>
        <v>-48.640000000000043</v>
      </c>
      <c r="AZ85" s="10">
        <f>(Мособлдума_партии[[#This Row],[Вброс]]+Мособлдума_партии[[#This Row],[Перекладывание]])/2</f>
        <v>-40.977534246575374</v>
      </c>
    </row>
    <row r="86" spans="2:52" x14ac:dyDescent="0.4">
      <c r="B86" t="s">
        <v>74</v>
      </c>
      <c r="C86" t="s">
        <v>366</v>
      </c>
      <c r="D86" t="s">
        <v>138</v>
      </c>
      <c r="E86" t="s">
        <v>214</v>
      </c>
      <c r="F86" s="8">
        <f t="shared" ca="1" si="35"/>
        <v>3975</v>
      </c>
      <c r="G86" s="8" t="str">
        <f>Дума_партии[[#This Row],[Местоположение]]</f>
        <v>Старый Городок</v>
      </c>
      <c r="H86" s="2" t="str">
        <f>LEFT(Мособлдума_партии[[#This Row],[tik]],4)&amp;"."&amp;IF(ISNUMBER(VALUE(RIGHT(Мособлдума_партии[[#This Row],[tik]]))),RIGHT(Мособлдума_партии[[#This Row],[tik]]),"")</f>
        <v>Один.</v>
      </c>
      <c r="I86">
        <v>1681</v>
      </c>
      <c r="J86" s="8">
        <f>Мособлдума_партии[[#This Row],[Число избирателей, внесенных в список на момент окончания голосования]]</f>
        <v>1681</v>
      </c>
      <c r="K86">
        <v>1500</v>
      </c>
      <c r="L86" s="1"/>
      <c r="M86">
        <v>542</v>
      </c>
      <c r="N86">
        <v>131</v>
      </c>
      <c r="O86" s="3">
        <f t="shared" si="36"/>
        <v>40.035693039857229</v>
      </c>
      <c r="P86" s="3">
        <f t="shared" si="37"/>
        <v>7.7929803688280783</v>
      </c>
      <c r="Q86">
        <v>827</v>
      </c>
      <c r="R86">
        <v>131</v>
      </c>
      <c r="S86">
        <v>542</v>
      </c>
      <c r="T86" s="1">
        <f t="shared" si="38"/>
        <v>673</v>
      </c>
      <c r="U86" s="3">
        <f t="shared" si="39"/>
        <v>19.465081723625556</v>
      </c>
      <c r="V86">
        <v>30</v>
      </c>
      <c r="W86" s="3">
        <f t="shared" si="40"/>
        <v>4.4576523031203568</v>
      </c>
      <c r="X86">
        <v>643</v>
      </c>
      <c r="Y86">
        <v>0</v>
      </c>
      <c r="Z86">
        <v>0</v>
      </c>
      <c r="AA86">
        <v>18</v>
      </c>
      <c r="AB86" s="3">
        <f t="shared" si="41"/>
        <v>2.6745913818722138</v>
      </c>
      <c r="AC86">
        <v>70</v>
      </c>
      <c r="AD86" s="3">
        <f t="shared" si="42"/>
        <v>10.401188707280832</v>
      </c>
      <c r="AE86">
        <v>38</v>
      </c>
      <c r="AF86" s="3">
        <f t="shared" si="43"/>
        <v>5.6463595839524521</v>
      </c>
      <c r="AG86">
        <v>39</v>
      </c>
      <c r="AH86" s="3">
        <f t="shared" si="44"/>
        <v>5.7949479940564634</v>
      </c>
      <c r="AI86">
        <v>142</v>
      </c>
      <c r="AJ86" s="3">
        <f t="shared" si="45"/>
        <v>21.099554234769688</v>
      </c>
      <c r="AK86">
        <v>208</v>
      </c>
      <c r="AL86" s="3">
        <f t="shared" si="46"/>
        <v>30.906389301634473</v>
      </c>
      <c r="AM86">
        <v>25</v>
      </c>
      <c r="AN86" s="3">
        <f t="shared" si="47"/>
        <v>3.7147102526002973</v>
      </c>
      <c r="AO86">
        <v>10</v>
      </c>
      <c r="AP86" s="3">
        <f t="shared" si="48"/>
        <v>1.4858841010401189</v>
      </c>
      <c r="AQ86">
        <v>27</v>
      </c>
      <c r="AR86" s="3">
        <f t="shared" si="49"/>
        <v>4.0118870728083209</v>
      </c>
      <c r="AS86">
        <v>66</v>
      </c>
      <c r="AT86" s="3">
        <f t="shared" si="50"/>
        <v>9.8068350668647852</v>
      </c>
      <c r="AU86" t="s">
        <v>368</v>
      </c>
      <c r="AV86" s="72">
        <f>Дума_партии[[#This Row],[КОИБ]]</f>
        <v>2017</v>
      </c>
      <c r="AW86" s="1" t="str">
        <f>IF(Дума_партии[[#This Row],[Наблюдателей]]=0,"",Дума_партии[[#This Row],[Наблюдателей]])</f>
        <v/>
      </c>
      <c r="AX86"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47.109589041095887</v>
      </c>
      <c r="AY86" s="10">
        <f>2*(Мособлдума_партии[[#This Row],[6. Всероссийская политическая партия "ЕДИНАЯ РОССИЯ"]]-(AB$203/100)*Мособлдума_партии[[#This Row],[Число действительных бюллетеней]])</f>
        <v>68.779999999999973</v>
      </c>
      <c r="AZ86" s="10">
        <f>(Мособлдума_партии[[#This Row],[Вброс]]+Мособлдума_партии[[#This Row],[Перекладывание]])/2</f>
        <v>57.94479452054793</v>
      </c>
    </row>
    <row r="87" spans="2:52" x14ac:dyDescent="0.4">
      <c r="B87" t="s">
        <v>74</v>
      </c>
      <c r="C87" t="s">
        <v>366</v>
      </c>
      <c r="D87" t="s">
        <v>138</v>
      </c>
      <c r="E87" t="s">
        <v>215</v>
      </c>
      <c r="F87" s="8">
        <f t="shared" ca="1" si="35"/>
        <v>3976</v>
      </c>
      <c r="G87" s="8" t="str">
        <f>Дума_партии[[#This Row],[Местоположение]]</f>
        <v>Старый Городок</v>
      </c>
      <c r="H87" s="2" t="str">
        <f>LEFT(Мособлдума_партии[[#This Row],[tik]],4)&amp;"."&amp;IF(ISNUMBER(VALUE(RIGHT(Мособлдума_партии[[#This Row],[tik]]))),RIGHT(Мособлдума_партии[[#This Row],[tik]]),"")</f>
        <v>Один.</v>
      </c>
      <c r="I87">
        <v>1685</v>
      </c>
      <c r="J87" s="8">
        <f>Мособлдума_партии[[#This Row],[Число избирателей, внесенных в список на момент окончания голосования]]</f>
        <v>1685</v>
      </c>
      <c r="K87">
        <v>1500</v>
      </c>
      <c r="L87" s="1"/>
      <c r="M87">
        <v>599</v>
      </c>
      <c r="N87">
        <v>61</v>
      </c>
      <c r="O87" s="3">
        <f t="shared" si="36"/>
        <v>39.169139465875368</v>
      </c>
      <c r="P87" s="3">
        <f t="shared" si="37"/>
        <v>3.6201780415430269</v>
      </c>
      <c r="Q87">
        <v>840</v>
      </c>
      <c r="R87">
        <v>61</v>
      </c>
      <c r="S87">
        <v>599</v>
      </c>
      <c r="T87" s="1">
        <f t="shared" si="38"/>
        <v>660</v>
      </c>
      <c r="U87" s="3">
        <f t="shared" si="39"/>
        <v>9.2424242424242422</v>
      </c>
      <c r="V87">
        <v>21</v>
      </c>
      <c r="W87" s="3">
        <f t="shared" si="40"/>
        <v>3.1818181818181817</v>
      </c>
      <c r="X87">
        <v>639</v>
      </c>
      <c r="Y87">
        <v>0</v>
      </c>
      <c r="Z87">
        <v>0</v>
      </c>
      <c r="AA87">
        <v>12</v>
      </c>
      <c r="AB87" s="3">
        <f t="shared" si="41"/>
        <v>1.8181818181818181</v>
      </c>
      <c r="AC87">
        <v>68</v>
      </c>
      <c r="AD87" s="3">
        <f t="shared" si="42"/>
        <v>10.303030303030303</v>
      </c>
      <c r="AE87">
        <v>49</v>
      </c>
      <c r="AF87" s="3">
        <f t="shared" si="43"/>
        <v>7.4242424242424239</v>
      </c>
      <c r="AG87">
        <v>50</v>
      </c>
      <c r="AH87" s="3">
        <f t="shared" si="44"/>
        <v>7.5757575757575761</v>
      </c>
      <c r="AI87">
        <v>143</v>
      </c>
      <c r="AJ87" s="3">
        <f t="shared" si="45"/>
        <v>21.666666666666668</v>
      </c>
      <c r="AK87">
        <v>168</v>
      </c>
      <c r="AL87" s="3">
        <f t="shared" si="46"/>
        <v>25.454545454545453</v>
      </c>
      <c r="AM87">
        <v>21</v>
      </c>
      <c r="AN87" s="3">
        <f t="shared" si="47"/>
        <v>3.1818181818181817</v>
      </c>
      <c r="AO87">
        <v>16</v>
      </c>
      <c r="AP87" s="3">
        <f t="shared" si="48"/>
        <v>2.4242424242424243</v>
      </c>
      <c r="AQ87">
        <v>46</v>
      </c>
      <c r="AR87" s="3">
        <f t="shared" si="49"/>
        <v>6.9696969696969697</v>
      </c>
      <c r="AS87">
        <v>66</v>
      </c>
      <c r="AT87" s="3">
        <f t="shared" si="50"/>
        <v>10</v>
      </c>
      <c r="AU87" t="s">
        <v>368</v>
      </c>
      <c r="AV87" s="72">
        <f>Дума_партии[[#This Row],[КОИБ]]</f>
        <v>2017</v>
      </c>
      <c r="AW87" s="1" t="str">
        <f>IF(Дума_партии[[#This Row],[Наблюдателей]]=0,"",Дума_партии[[#This Row],[Наблюдателей]])</f>
        <v/>
      </c>
      <c r="AX87"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-6.2054794520548171</v>
      </c>
      <c r="AY87" s="10">
        <f>2*(Мособлдума_партии[[#This Row],[6. Всероссийская политическая партия "ЕДИНАЯ РОССИЯ"]]-(AB$203/100)*Мособлдума_партии[[#This Row],[Число действительных бюллетеней]])</f>
        <v>-9.0600000000000023</v>
      </c>
      <c r="AZ87" s="10">
        <f>(Мособлдума_партии[[#This Row],[Вброс]]+Мособлдума_партии[[#This Row],[Перекладывание]])/2</f>
        <v>-7.6327397260274097</v>
      </c>
    </row>
    <row r="88" spans="2:52" x14ac:dyDescent="0.4">
      <c r="B88" t="s">
        <v>74</v>
      </c>
      <c r="C88" t="s">
        <v>366</v>
      </c>
      <c r="D88" t="s">
        <v>138</v>
      </c>
      <c r="E88" t="s">
        <v>216</v>
      </c>
      <c r="F88" s="8">
        <f t="shared" ca="1" si="35"/>
        <v>3977</v>
      </c>
      <c r="G88" s="8" t="str">
        <f>Дума_партии[[#This Row],[Местоположение]]</f>
        <v>Старый Городок</v>
      </c>
      <c r="H88" s="2" t="str">
        <f>LEFT(Мособлдума_партии[[#This Row],[tik]],4)&amp;"."&amp;IF(ISNUMBER(VALUE(RIGHT(Мособлдума_партии[[#This Row],[tik]]))),RIGHT(Мособлдума_партии[[#This Row],[tik]]),"")</f>
        <v>Один.</v>
      </c>
      <c r="I88">
        <v>1529</v>
      </c>
      <c r="J88" s="8">
        <f>Мособлдума_партии[[#This Row],[Число избирателей, внесенных в список на момент окончания голосования]]</f>
        <v>1529</v>
      </c>
      <c r="K88">
        <v>1300</v>
      </c>
      <c r="L88" s="1"/>
      <c r="M88">
        <v>563</v>
      </c>
      <c r="N88">
        <v>115</v>
      </c>
      <c r="O88" s="3">
        <f t="shared" si="36"/>
        <v>44.34270765206017</v>
      </c>
      <c r="P88" s="3">
        <f t="shared" si="37"/>
        <v>7.5212557226945718</v>
      </c>
      <c r="Q88">
        <v>622</v>
      </c>
      <c r="R88">
        <v>115</v>
      </c>
      <c r="S88">
        <v>563</v>
      </c>
      <c r="T88" s="1">
        <f t="shared" si="38"/>
        <v>678</v>
      </c>
      <c r="U88" s="3">
        <f t="shared" si="39"/>
        <v>16.961651917404129</v>
      </c>
      <c r="V88">
        <v>38</v>
      </c>
      <c r="W88" s="3">
        <f t="shared" si="40"/>
        <v>5.6047197640117998</v>
      </c>
      <c r="X88">
        <v>640</v>
      </c>
      <c r="Y88">
        <v>0</v>
      </c>
      <c r="Z88">
        <v>0</v>
      </c>
      <c r="AA88">
        <v>11</v>
      </c>
      <c r="AB88" s="3">
        <f t="shared" si="41"/>
        <v>1.6224188790560472</v>
      </c>
      <c r="AC88">
        <v>75</v>
      </c>
      <c r="AD88" s="3">
        <f t="shared" si="42"/>
        <v>11.061946902654867</v>
      </c>
      <c r="AE88">
        <v>56</v>
      </c>
      <c r="AF88" s="3">
        <f t="shared" si="43"/>
        <v>8.2595870206489668</v>
      </c>
      <c r="AG88">
        <v>37</v>
      </c>
      <c r="AH88" s="3">
        <f t="shared" si="44"/>
        <v>5.4572271386430682</v>
      </c>
      <c r="AI88">
        <v>119</v>
      </c>
      <c r="AJ88" s="3">
        <f t="shared" si="45"/>
        <v>17.551622418879056</v>
      </c>
      <c r="AK88">
        <v>219</v>
      </c>
      <c r="AL88" s="3">
        <f t="shared" si="46"/>
        <v>32.30088495575221</v>
      </c>
      <c r="AM88">
        <v>19</v>
      </c>
      <c r="AN88" s="3">
        <f t="shared" si="47"/>
        <v>2.8023598820058999</v>
      </c>
      <c r="AO88">
        <v>15</v>
      </c>
      <c r="AP88" s="3">
        <f t="shared" si="48"/>
        <v>2.2123893805309733</v>
      </c>
      <c r="AQ88">
        <v>27</v>
      </c>
      <c r="AR88" s="3">
        <f t="shared" si="49"/>
        <v>3.9823008849557522</v>
      </c>
      <c r="AS88">
        <v>62</v>
      </c>
      <c r="AT88" s="3">
        <f t="shared" si="50"/>
        <v>9.1445427728613566</v>
      </c>
      <c r="AU88" t="s">
        <v>368</v>
      </c>
      <c r="AV88" s="72">
        <f>Дума_партии[[#This Row],[КОИБ]]</f>
        <v>2017</v>
      </c>
      <c r="AW88" s="1" t="str">
        <f>IF(Дума_партии[[#This Row],[Наблюдателей]]=0,"",Дума_партии[[#This Row],[Наблюдателей]])</f>
        <v/>
      </c>
      <c r="AX88"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63.287671232876704</v>
      </c>
      <c r="AY88" s="10">
        <f>2*(Мособлдума_партии[[#This Row],[6. Всероссийская политическая партия "ЕДИНАЯ РОССИЯ"]]-(AB$203/100)*Мособлдума_партии[[#This Row],[Число действительных бюллетеней]])</f>
        <v>92.399999999999977</v>
      </c>
      <c r="AZ88" s="10">
        <f>(Мособлдума_партии[[#This Row],[Вброс]]+Мособлдума_партии[[#This Row],[Перекладывание]])/2</f>
        <v>77.843835616438341</v>
      </c>
    </row>
    <row r="89" spans="2:52" x14ac:dyDescent="0.4">
      <c r="B89" t="s">
        <v>74</v>
      </c>
      <c r="C89" t="s">
        <v>366</v>
      </c>
      <c r="D89" t="s">
        <v>138</v>
      </c>
      <c r="E89" t="s">
        <v>217</v>
      </c>
      <c r="F89" s="8">
        <f t="shared" ca="1" si="35"/>
        <v>3979</v>
      </c>
      <c r="G89" s="8" t="str">
        <f>Дума_партии[[#This Row],[Местоположение]]</f>
        <v>Шарапово</v>
      </c>
      <c r="H89" s="2" t="str">
        <f>LEFT(Мособлдума_партии[[#This Row],[tik]],4)&amp;"."&amp;IF(ISNUMBER(VALUE(RIGHT(Мособлдума_партии[[#This Row],[tik]]))),RIGHT(Мособлдума_партии[[#This Row],[tik]]),"")</f>
        <v>Один.</v>
      </c>
      <c r="I89">
        <v>1800</v>
      </c>
      <c r="J89" s="8">
        <f>Мособлдума_партии[[#This Row],[Число избирателей, внесенных в список на момент окончания голосования]]</f>
        <v>1800</v>
      </c>
      <c r="K89">
        <v>1500</v>
      </c>
      <c r="L89" s="1"/>
      <c r="M89">
        <v>575</v>
      </c>
      <c r="N89">
        <v>53</v>
      </c>
      <c r="O89" s="3">
        <f t="shared" si="36"/>
        <v>34.888888888888886</v>
      </c>
      <c r="P89" s="3">
        <f t="shared" si="37"/>
        <v>2.9444444444444446</v>
      </c>
      <c r="Q89">
        <v>872</v>
      </c>
      <c r="R89">
        <v>53</v>
      </c>
      <c r="S89">
        <v>575</v>
      </c>
      <c r="T89" s="1">
        <f t="shared" si="38"/>
        <v>628</v>
      </c>
      <c r="U89" s="3">
        <f t="shared" si="39"/>
        <v>8.4394904458598727</v>
      </c>
      <c r="V89">
        <v>25</v>
      </c>
      <c r="W89" s="3">
        <f t="shared" si="40"/>
        <v>3.9808917197452227</v>
      </c>
      <c r="X89">
        <v>603</v>
      </c>
      <c r="Y89">
        <v>0</v>
      </c>
      <c r="Z89">
        <v>0</v>
      </c>
      <c r="AA89">
        <v>8</v>
      </c>
      <c r="AB89" s="3">
        <f t="shared" si="41"/>
        <v>1.2738853503184713</v>
      </c>
      <c r="AC89">
        <v>51</v>
      </c>
      <c r="AD89" s="3">
        <f t="shared" si="42"/>
        <v>8.1210191082802545</v>
      </c>
      <c r="AE89">
        <v>42</v>
      </c>
      <c r="AF89" s="3">
        <f t="shared" si="43"/>
        <v>6.6878980891719744</v>
      </c>
      <c r="AG89">
        <v>33</v>
      </c>
      <c r="AH89" s="3">
        <f t="shared" si="44"/>
        <v>5.2547770700636942</v>
      </c>
      <c r="AI89">
        <v>141</v>
      </c>
      <c r="AJ89" s="3">
        <f t="shared" si="45"/>
        <v>22.452229299363058</v>
      </c>
      <c r="AK89">
        <v>199</v>
      </c>
      <c r="AL89" s="3">
        <f t="shared" si="46"/>
        <v>31.687898089171973</v>
      </c>
      <c r="AM89">
        <v>11</v>
      </c>
      <c r="AN89" s="3">
        <f t="shared" si="47"/>
        <v>1.7515923566878981</v>
      </c>
      <c r="AO89">
        <v>15</v>
      </c>
      <c r="AP89" s="3">
        <f t="shared" si="48"/>
        <v>2.3885350318471339</v>
      </c>
      <c r="AQ89">
        <v>41</v>
      </c>
      <c r="AR89" s="3">
        <f t="shared" si="49"/>
        <v>6.5286624203821653</v>
      </c>
      <c r="AS89">
        <v>62</v>
      </c>
      <c r="AT89" s="3">
        <f t="shared" si="50"/>
        <v>9.872611464968152</v>
      </c>
      <c r="AU89" t="s">
        <v>368</v>
      </c>
      <c r="AV89" s="72">
        <f>Дума_партии[[#This Row],[КОИБ]]</f>
        <v>2017</v>
      </c>
      <c r="AW89" s="1" t="str">
        <f>IF(Дума_партии[[#This Row],[Наблюдателей]]=0,"",Дума_партии[[#This Row],[Наблюдателей]])</f>
        <v/>
      </c>
      <c r="AX89"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49.575342465753408</v>
      </c>
      <c r="AY89" s="10">
        <f>2*(Мособлдума_партии[[#This Row],[6. Всероссийская политическая партия "ЕДИНАЯ РОССИЯ"]]-(AB$203/100)*Мособлдума_партии[[#This Row],[Число действительных бюллетеней]])</f>
        <v>72.38</v>
      </c>
      <c r="AZ89" s="10">
        <f>(Мособлдума_партии[[#This Row],[Вброс]]+Мособлдума_партии[[#This Row],[Перекладывание]])/2</f>
        <v>60.977671232876702</v>
      </c>
    </row>
    <row r="90" spans="2:52" x14ac:dyDescent="0.4">
      <c r="B90" t="s">
        <v>74</v>
      </c>
      <c r="C90" t="s">
        <v>366</v>
      </c>
      <c r="D90" t="s">
        <v>138</v>
      </c>
      <c r="E90" t="s">
        <v>218</v>
      </c>
      <c r="F90" s="8">
        <f t="shared" ca="1" si="35"/>
        <v>3981</v>
      </c>
      <c r="G90" s="8" t="str">
        <f>Дума_партии[[#This Row],[Местоположение]]</f>
        <v>Горки-10</v>
      </c>
      <c r="H90" s="2" t="str">
        <f>LEFT(Мособлдума_партии[[#This Row],[tik]],4)&amp;"."&amp;IF(ISNUMBER(VALUE(RIGHT(Мособлдума_партии[[#This Row],[tik]]))),RIGHT(Мособлдума_партии[[#This Row],[tik]]),"")</f>
        <v>Один.</v>
      </c>
      <c r="I90">
        <v>1896</v>
      </c>
      <c r="J90" s="8">
        <f>Мособлдума_партии[[#This Row],[Число избирателей, внесенных в список на момент окончания голосования]]</f>
        <v>1896</v>
      </c>
      <c r="K90">
        <v>1500</v>
      </c>
      <c r="L90" s="1"/>
      <c r="M90">
        <v>645</v>
      </c>
      <c r="N90">
        <v>47</v>
      </c>
      <c r="O90" s="3">
        <f t="shared" si="36"/>
        <v>36.497890295358651</v>
      </c>
      <c r="P90" s="3">
        <f t="shared" si="37"/>
        <v>2.4789029535864979</v>
      </c>
      <c r="Q90">
        <v>808</v>
      </c>
      <c r="R90">
        <v>47</v>
      </c>
      <c r="S90">
        <v>598</v>
      </c>
      <c r="T90" s="1">
        <f t="shared" si="38"/>
        <v>645</v>
      </c>
      <c r="U90" s="3">
        <f t="shared" si="39"/>
        <v>7.2868217054263562</v>
      </c>
      <c r="V90">
        <v>41</v>
      </c>
      <c r="W90" s="3">
        <f t="shared" si="40"/>
        <v>6.3565891472868215</v>
      </c>
      <c r="X90">
        <v>604</v>
      </c>
      <c r="Y90">
        <v>0</v>
      </c>
      <c r="Z90">
        <v>0</v>
      </c>
      <c r="AA90">
        <v>11</v>
      </c>
      <c r="AB90" s="3">
        <f t="shared" si="41"/>
        <v>1.7054263565891472</v>
      </c>
      <c r="AC90">
        <v>63</v>
      </c>
      <c r="AD90" s="3">
        <f t="shared" si="42"/>
        <v>9.7674418604651159</v>
      </c>
      <c r="AE90">
        <v>40</v>
      </c>
      <c r="AF90" s="3">
        <f t="shared" si="43"/>
        <v>6.2015503875968996</v>
      </c>
      <c r="AG90">
        <v>36</v>
      </c>
      <c r="AH90" s="3">
        <f t="shared" si="44"/>
        <v>5.5813953488372094</v>
      </c>
      <c r="AI90">
        <v>159</v>
      </c>
      <c r="AJ90" s="3">
        <f t="shared" si="45"/>
        <v>24.651162790697676</v>
      </c>
      <c r="AK90">
        <v>177</v>
      </c>
      <c r="AL90" s="3">
        <f t="shared" si="46"/>
        <v>27.441860465116278</v>
      </c>
      <c r="AM90">
        <v>19</v>
      </c>
      <c r="AN90" s="3">
        <f t="shared" si="47"/>
        <v>2.945736434108527</v>
      </c>
      <c r="AO90">
        <v>18</v>
      </c>
      <c r="AP90" s="3">
        <f t="shared" si="48"/>
        <v>2.7906976744186047</v>
      </c>
      <c r="AQ90">
        <v>35</v>
      </c>
      <c r="AR90" s="3">
        <f t="shared" si="49"/>
        <v>5.4263565891472867</v>
      </c>
      <c r="AS90">
        <v>46</v>
      </c>
      <c r="AT90" s="3">
        <f t="shared" si="50"/>
        <v>7.1317829457364343</v>
      </c>
      <c r="AU90" t="s">
        <v>368</v>
      </c>
      <c r="AV90" s="72">
        <f>Дума_партии[[#This Row],[КОИБ]]</f>
        <v>2017</v>
      </c>
      <c r="AW90" s="1" t="str">
        <f>IF(Дума_партии[[#This Row],[Наблюдателей]]=0,"",Дума_партии[[#This Row],[Наблюдателей]])</f>
        <v/>
      </c>
      <c r="AX90"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19.06849315068493</v>
      </c>
      <c r="AY90" s="10">
        <f>2*(Мособлдума_партии[[#This Row],[6. Всероссийская политическая партия "ЕДИНАЯ РОССИЯ"]]-(AB$203/100)*Мособлдума_партии[[#This Row],[Число действительных бюллетеней]])</f>
        <v>27.839999999999975</v>
      </c>
      <c r="AZ90" s="10">
        <f>(Мособлдума_партии[[#This Row],[Вброс]]+Мособлдума_партии[[#This Row],[Перекладывание]])/2</f>
        <v>23.454246575342452</v>
      </c>
    </row>
    <row r="91" spans="2:52" x14ac:dyDescent="0.4">
      <c r="B91" t="s">
        <v>74</v>
      </c>
      <c r="C91" t="s">
        <v>366</v>
      </c>
      <c r="D91" t="s">
        <v>138</v>
      </c>
      <c r="E91" t="s">
        <v>219</v>
      </c>
      <c r="F91" s="8">
        <f t="shared" ref="F91:F123" ca="1" si="51">SUMPRODUCT(MID(0&amp;E91, LARGE(INDEX(ISNUMBER(--MID(E91, ROW(INDIRECT("1:"&amp;LEN(E91))), 1)) * ROW(INDIRECT("1:"&amp;LEN(E91))), 0), ROW(INDIRECT("1:"&amp;LEN(E91))))+1, 1) * 10^ROW(INDIRECT("1:"&amp;LEN(E91)))/10)</f>
        <v>3983</v>
      </c>
      <c r="G91" s="8" t="str">
        <f>Дума_партии[[#This Row],[Местоположение]]</f>
        <v>Горки-10</v>
      </c>
      <c r="H91" s="2" t="str">
        <f>LEFT(Мособлдума_партии[[#This Row],[tik]],4)&amp;"."&amp;IF(ISNUMBER(VALUE(RIGHT(Мособлдума_партии[[#This Row],[tik]]))),RIGHT(Мособлдума_партии[[#This Row],[tik]]),"")</f>
        <v>Один.</v>
      </c>
      <c r="I91">
        <v>1963</v>
      </c>
      <c r="J91" s="8">
        <f>Мособлдума_партии[[#This Row],[Число избирателей, внесенных в список на момент окончания голосования]]</f>
        <v>1963</v>
      </c>
      <c r="K91">
        <v>1500</v>
      </c>
      <c r="L91" s="1"/>
      <c r="M91">
        <v>639</v>
      </c>
      <c r="N91">
        <v>201</v>
      </c>
      <c r="O91" s="3">
        <f t="shared" ref="O91:O123" si="52">100*(M91+N91)/I91</f>
        <v>42.791645440652061</v>
      </c>
      <c r="P91" s="3">
        <f t="shared" ref="P91:P123" si="53">100*N91/I91</f>
        <v>10.239429444727458</v>
      </c>
      <c r="Q91">
        <v>660</v>
      </c>
      <c r="R91">
        <v>201</v>
      </c>
      <c r="S91">
        <v>639</v>
      </c>
      <c r="T91" s="1">
        <f t="shared" ref="T91:T123" si="54">R91+S91</f>
        <v>840</v>
      </c>
      <c r="U91" s="3">
        <f t="shared" ref="U91:U123" si="55">100*R91/T91</f>
        <v>23.928571428571427</v>
      </c>
      <c r="V91">
        <v>30</v>
      </c>
      <c r="W91" s="3">
        <f t="shared" ref="W91:W123" si="56">100*V91/T91</f>
        <v>3.5714285714285716</v>
      </c>
      <c r="X91">
        <v>810</v>
      </c>
      <c r="Y91">
        <v>0</v>
      </c>
      <c r="Z91">
        <v>0</v>
      </c>
      <c r="AA91">
        <v>8</v>
      </c>
      <c r="AB91" s="3">
        <f t="shared" ref="AB91:AB123" si="57">100*AA91/$T91</f>
        <v>0.95238095238095233</v>
      </c>
      <c r="AC91">
        <v>63</v>
      </c>
      <c r="AD91" s="3">
        <f t="shared" ref="AD91:AD123" si="58">100*AC91/$T91</f>
        <v>7.5</v>
      </c>
      <c r="AE91">
        <v>50</v>
      </c>
      <c r="AF91" s="3">
        <f t="shared" ref="AF91:AF123" si="59">100*AE91/$T91</f>
        <v>5.9523809523809526</v>
      </c>
      <c r="AG91">
        <v>50</v>
      </c>
      <c r="AH91" s="3">
        <f t="shared" ref="AH91:AH123" si="60">100*AG91/$T91</f>
        <v>5.9523809523809526</v>
      </c>
      <c r="AI91">
        <v>150</v>
      </c>
      <c r="AJ91" s="3">
        <f t="shared" ref="AJ91:AJ123" si="61">100*AI91/$T91</f>
        <v>17.857142857142858</v>
      </c>
      <c r="AK91">
        <v>374</v>
      </c>
      <c r="AL91" s="3">
        <f t="shared" ref="AL91:AL123" si="62">100*AK91/$T91</f>
        <v>44.523809523809526</v>
      </c>
      <c r="AM91">
        <v>15</v>
      </c>
      <c r="AN91" s="3">
        <f t="shared" ref="AN91:AN123" si="63">100*AM91/$T91</f>
        <v>1.7857142857142858</v>
      </c>
      <c r="AO91">
        <v>18</v>
      </c>
      <c r="AP91" s="3">
        <f t="shared" ref="AP91:AP123" si="64">100*AO91/$T91</f>
        <v>2.1428571428571428</v>
      </c>
      <c r="AQ91">
        <v>27</v>
      </c>
      <c r="AR91" s="3">
        <f t="shared" ref="AR91:AR123" si="65">100*AQ91/$T91</f>
        <v>3.2142857142857144</v>
      </c>
      <c r="AS91">
        <v>55</v>
      </c>
      <c r="AT91" s="3">
        <f t="shared" ref="AT91:AT123" si="66">100*AS91/$T91</f>
        <v>6.5476190476190474</v>
      </c>
      <c r="AU91" t="s">
        <v>368</v>
      </c>
      <c r="AV91" s="72">
        <f>Дума_партии[[#This Row],[КОИБ]]</f>
        <v>2017</v>
      </c>
      <c r="AW91" s="1" t="str">
        <f>IF(Дума_партии[[#This Row],[Наблюдателей]]=0,"",Дума_партии[[#This Row],[Наблюдателей]])</f>
        <v/>
      </c>
      <c r="AX91"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212.73972602739724</v>
      </c>
      <c r="AY91" s="10">
        <f>2*(Мособлдума_партии[[#This Row],[6. Всероссийская политическая партия "ЕДИНАЯ РОССИЯ"]]-(AB$203/100)*Мособлдума_партии[[#This Row],[Число действительных бюллетеней]])</f>
        <v>310.59999999999997</v>
      </c>
      <c r="AZ91" s="10">
        <f>(Мособлдума_партии[[#This Row],[Вброс]]+Мособлдума_партии[[#This Row],[Перекладывание]])/2</f>
        <v>261.6698630136986</v>
      </c>
    </row>
    <row r="92" spans="2:52" x14ac:dyDescent="0.4">
      <c r="B92" t="s">
        <v>74</v>
      </c>
      <c r="C92" t="s">
        <v>366</v>
      </c>
      <c r="D92" t="s">
        <v>138</v>
      </c>
      <c r="E92" t="s">
        <v>220</v>
      </c>
      <c r="F92" s="8">
        <f t="shared" ca="1" si="51"/>
        <v>3984</v>
      </c>
      <c r="G92" s="8" t="str">
        <f>Дума_партии[[#This Row],[Местоположение]]</f>
        <v>Горки-10</v>
      </c>
      <c r="H92" s="2" t="str">
        <f>LEFT(Мособлдума_партии[[#This Row],[tik]],4)&amp;"."&amp;IF(ISNUMBER(VALUE(RIGHT(Мособлдума_партии[[#This Row],[tik]]))),RIGHT(Мособлдума_партии[[#This Row],[tik]]),"")</f>
        <v>Один.</v>
      </c>
      <c r="I92">
        <v>1902</v>
      </c>
      <c r="J92" s="8">
        <f>Мособлдума_партии[[#This Row],[Число избирателей, внесенных в список на момент окончания голосования]]</f>
        <v>1902</v>
      </c>
      <c r="K92">
        <v>1500</v>
      </c>
      <c r="L92" s="1"/>
      <c r="M92">
        <v>749</v>
      </c>
      <c r="N92">
        <v>177</v>
      </c>
      <c r="O92" s="3">
        <f t="shared" si="52"/>
        <v>48.685594111461619</v>
      </c>
      <c r="P92" s="3">
        <f t="shared" si="53"/>
        <v>9.3059936908517358</v>
      </c>
      <c r="Q92">
        <v>574</v>
      </c>
      <c r="R92">
        <v>177</v>
      </c>
      <c r="S92">
        <v>749</v>
      </c>
      <c r="T92" s="1">
        <f t="shared" si="54"/>
        <v>926</v>
      </c>
      <c r="U92" s="3">
        <f t="shared" si="55"/>
        <v>19.114470842332615</v>
      </c>
      <c r="V92">
        <v>20</v>
      </c>
      <c r="W92" s="3">
        <f t="shared" si="56"/>
        <v>2.159827213822894</v>
      </c>
      <c r="X92">
        <v>906</v>
      </c>
      <c r="Y92">
        <v>0</v>
      </c>
      <c r="Z92">
        <v>0</v>
      </c>
      <c r="AA92">
        <v>6</v>
      </c>
      <c r="AB92" s="3">
        <f t="shared" si="57"/>
        <v>0.64794816414686829</v>
      </c>
      <c r="AC92">
        <v>48</v>
      </c>
      <c r="AD92" s="3">
        <f t="shared" si="58"/>
        <v>5.1835853131749463</v>
      </c>
      <c r="AE92">
        <v>45</v>
      </c>
      <c r="AF92" s="3">
        <f t="shared" si="59"/>
        <v>4.8596112311015123</v>
      </c>
      <c r="AG92">
        <v>36</v>
      </c>
      <c r="AH92" s="3">
        <f t="shared" si="60"/>
        <v>3.8876889848812093</v>
      </c>
      <c r="AI92">
        <v>165</v>
      </c>
      <c r="AJ92" s="3">
        <f t="shared" si="61"/>
        <v>17.818574514038875</v>
      </c>
      <c r="AK92">
        <v>513</v>
      </c>
      <c r="AL92" s="3">
        <f t="shared" si="62"/>
        <v>55.399568034557234</v>
      </c>
      <c r="AM92">
        <v>14</v>
      </c>
      <c r="AN92" s="3">
        <f t="shared" si="63"/>
        <v>1.5118790496760259</v>
      </c>
      <c r="AO92">
        <v>12</v>
      </c>
      <c r="AP92" s="3">
        <f t="shared" si="64"/>
        <v>1.2958963282937366</v>
      </c>
      <c r="AQ92">
        <v>24</v>
      </c>
      <c r="AR92" s="3">
        <f t="shared" si="65"/>
        <v>2.5917926565874732</v>
      </c>
      <c r="AS92">
        <v>43</v>
      </c>
      <c r="AT92" s="3">
        <f t="shared" si="66"/>
        <v>4.643628509719222</v>
      </c>
      <c r="AU92" t="s">
        <v>368</v>
      </c>
      <c r="AV92" s="72" t="str">
        <f>Дума_партии[[#This Row],[КОИБ]]</f>
        <v>N</v>
      </c>
      <c r="AW92" s="1" t="str">
        <f>IF(Дума_партии[[#This Row],[Наблюдателей]]=0,"",Дума_партии[[#This Row],[Наблюдателей]])</f>
        <v/>
      </c>
      <c r="AX92"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367.64383561643831</v>
      </c>
      <c r="AY92" s="10">
        <f>2*(Мособлдума_партии[[#This Row],[6. Всероссийская политическая партия "ЕДИНАЯ РОССИЯ"]]-(AB$203/100)*Мособлдума_партии[[#This Row],[Число действительных бюллетеней]])</f>
        <v>536.76</v>
      </c>
      <c r="AZ92" s="10">
        <f>(Мособлдума_партии[[#This Row],[Вброс]]+Мособлдума_партии[[#This Row],[Перекладывание]])/2</f>
        <v>452.20191780821915</v>
      </c>
    </row>
    <row r="93" spans="2:52" x14ac:dyDescent="0.4">
      <c r="B93" t="s">
        <v>74</v>
      </c>
      <c r="C93" t="s">
        <v>366</v>
      </c>
      <c r="D93" t="s">
        <v>138</v>
      </c>
      <c r="E93" t="s">
        <v>221</v>
      </c>
      <c r="F93" s="8">
        <f t="shared" ca="1" si="51"/>
        <v>3985</v>
      </c>
      <c r="G93" s="8" t="str">
        <f>Дума_партии[[#This Row],[Местоположение]]</f>
        <v>Успенское</v>
      </c>
      <c r="H93" s="2" t="str">
        <f>LEFT(Мособлдума_партии[[#This Row],[tik]],4)&amp;"."&amp;IF(ISNUMBER(VALUE(RIGHT(Мособлдума_партии[[#This Row],[tik]]))),RIGHT(Мособлдума_партии[[#This Row],[tik]]),"")</f>
        <v>Один.</v>
      </c>
      <c r="I93">
        <v>1647</v>
      </c>
      <c r="J93" s="8">
        <f>Мособлдума_партии[[#This Row],[Число избирателей, внесенных в список на момент окончания голосования]]</f>
        <v>1647</v>
      </c>
      <c r="K93">
        <v>1300</v>
      </c>
      <c r="L93" s="1"/>
      <c r="M93">
        <v>613</v>
      </c>
      <c r="N93">
        <v>219</v>
      </c>
      <c r="O93" s="3">
        <f t="shared" si="52"/>
        <v>50.516089860352153</v>
      </c>
      <c r="P93" s="3">
        <f t="shared" si="53"/>
        <v>13.296903460837887</v>
      </c>
      <c r="Q93">
        <v>468</v>
      </c>
      <c r="R93">
        <v>219</v>
      </c>
      <c r="S93">
        <v>613</v>
      </c>
      <c r="T93" s="1">
        <f t="shared" si="54"/>
        <v>832</v>
      </c>
      <c r="U93" s="3">
        <f t="shared" si="55"/>
        <v>26.322115384615383</v>
      </c>
      <c r="V93">
        <v>62</v>
      </c>
      <c r="W93" s="3">
        <f t="shared" si="56"/>
        <v>7.4519230769230766</v>
      </c>
      <c r="X93">
        <v>770</v>
      </c>
      <c r="Y93">
        <v>0</v>
      </c>
      <c r="Z93">
        <v>0</v>
      </c>
      <c r="AA93">
        <v>12</v>
      </c>
      <c r="AB93" s="3">
        <f t="shared" si="57"/>
        <v>1.4423076923076923</v>
      </c>
      <c r="AC93">
        <v>57</v>
      </c>
      <c r="AD93" s="3">
        <f t="shared" si="58"/>
        <v>6.8509615384615383</v>
      </c>
      <c r="AE93">
        <v>41</v>
      </c>
      <c r="AF93" s="3">
        <f t="shared" si="59"/>
        <v>4.927884615384615</v>
      </c>
      <c r="AG93">
        <v>42</v>
      </c>
      <c r="AH93" s="3">
        <f t="shared" si="60"/>
        <v>5.0480769230769234</v>
      </c>
      <c r="AI93">
        <v>125</v>
      </c>
      <c r="AJ93" s="3">
        <f t="shared" si="61"/>
        <v>15.024038461538462</v>
      </c>
      <c r="AK93">
        <v>352</v>
      </c>
      <c r="AL93" s="3">
        <f t="shared" si="62"/>
        <v>42.307692307692307</v>
      </c>
      <c r="AM93">
        <v>17</v>
      </c>
      <c r="AN93" s="3">
        <f t="shared" si="63"/>
        <v>2.0432692307692308</v>
      </c>
      <c r="AO93">
        <v>21</v>
      </c>
      <c r="AP93" s="3">
        <f t="shared" si="64"/>
        <v>2.5240384615384617</v>
      </c>
      <c r="AQ93">
        <v>29</v>
      </c>
      <c r="AR93" s="3">
        <f t="shared" si="65"/>
        <v>3.4855769230769229</v>
      </c>
      <c r="AS93">
        <v>74</v>
      </c>
      <c r="AT93" s="3">
        <f t="shared" si="66"/>
        <v>8.8942307692307701</v>
      </c>
      <c r="AU93" t="s">
        <v>368</v>
      </c>
      <c r="AV93" s="72">
        <f>Дума_партии[[#This Row],[КОИБ]]</f>
        <v>2017</v>
      </c>
      <c r="AW93" s="1" t="str">
        <f>IF(Дума_партии[[#This Row],[Наблюдателей]]=0,"",Дума_партии[[#This Row],[Наблюдателей]])</f>
        <v/>
      </c>
      <c r="AX93"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197.39726027397259</v>
      </c>
      <c r="AY93" s="10">
        <f>2*(Мособлдума_партии[[#This Row],[6. Всероссийская политическая партия "ЕДИНАЯ РОССИЯ"]]-(AB$203/100)*Мособлдума_партии[[#This Row],[Число действительных бюллетеней]])</f>
        <v>288.2</v>
      </c>
      <c r="AZ93" s="10">
        <f>(Мособлдума_партии[[#This Row],[Вброс]]+Мособлдума_партии[[#This Row],[Перекладывание]])/2</f>
        <v>242.79863013698628</v>
      </c>
    </row>
    <row r="94" spans="2:52" x14ac:dyDescent="0.4">
      <c r="B94" t="s">
        <v>74</v>
      </c>
      <c r="C94" t="s">
        <v>366</v>
      </c>
      <c r="D94" t="s">
        <v>138</v>
      </c>
      <c r="E94" t="s">
        <v>222</v>
      </c>
      <c r="F94" s="8">
        <f t="shared" ca="1" si="51"/>
        <v>3986</v>
      </c>
      <c r="G94" s="8" t="str">
        <f>Дума_партии[[#This Row],[Местоположение]]</f>
        <v>Сосны</v>
      </c>
      <c r="H94" s="2" t="str">
        <f>LEFT(Мособлдума_партии[[#This Row],[tik]],4)&amp;"."&amp;IF(ISNUMBER(VALUE(RIGHT(Мособлдума_партии[[#This Row],[tik]]))),RIGHT(Мособлдума_партии[[#This Row],[tik]]),"")</f>
        <v>Один.</v>
      </c>
      <c r="I94">
        <v>1316</v>
      </c>
      <c r="J94" s="8">
        <f>Мособлдума_партии[[#This Row],[Число избирателей, внесенных в список на момент окончания голосования]]</f>
        <v>1316</v>
      </c>
      <c r="K94">
        <v>1000</v>
      </c>
      <c r="L94" s="1"/>
      <c r="M94">
        <v>432</v>
      </c>
      <c r="N94">
        <v>277</v>
      </c>
      <c r="O94" s="3">
        <f t="shared" si="52"/>
        <v>53.875379939209729</v>
      </c>
      <c r="P94" s="3">
        <f t="shared" si="53"/>
        <v>21.048632218844986</v>
      </c>
      <c r="Q94">
        <v>291</v>
      </c>
      <c r="R94">
        <v>277</v>
      </c>
      <c r="S94">
        <v>432</v>
      </c>
      <c r="T94" s="1">
        <f t="shared" si="54"/>
        <v>709</v>
      </c>
      <c r="U94" s="3">
        <f t="shared" si="55"/>
        <v>39.06911142454161</v>
      </c>
      <c r="V94">
        <v>11</v>
      </c>
      <c r="W94" s="3">
        <f t="shared" si="56"/>
        <v>1.5514809590973202</v>
      </c>
      <c r="X94">
        <v>698</v>
      </c>
      <c r="Y94">
        <v>0</v>
      </c>
      <c r="Z94">
        <v>0</v>
      </c>
      <c r="AA94">
        <v>7</v>
      </c>
      <c r="AB94" s="3">
        <f t="shared" si="57"/>
        <v>0.98730606488011285</v>
      </c>
      <c r="AC94">
        <v>45</v>
      </c>
      <c r="AD94" s="3">
        <f t="shared" si="58"/>
        <v>6.3469675599435824</v>
      </c>
      <c r="AE94">
        <v>37</v>
      </c>
      <c r="AF94" s="3">
        <f t="shared" si="59"/>
        <v>5.2186177715091677</v>
      </c>
      <c r="AG94">
        <v>26</v>
      </c>
      <c r="AH94" s="3">
        <f t="shared" si="60"/>
        <v>3.6671368124118477</v>
      </c>
      <c r="AI94">
        <v>108</v>
      </c>
      <c r="AJ94" s="3">
        <f t="shared" si="61"/>
        <v>15.232722143864597</v>
      </c>
      <c r="AK94">
        <v>390</v>
      </c>
      <c r="AL94" s="3">
        <f t="shared" si="62"/>
        <v>55.007052186177717</v>
      </c>
      <c r="AM94">
        <v>11</v>
      </c>
      <c r="AN94" s="3">
        <f t="shared" si="63"/>
        <v>1.5514809590973202</v>
      </c>
      <c r="AO94">
        <v>13</v>
      </c>
      <c r="AP94" s="3">
        <f t="shared" si="64"/>
        <v>1.8335684062059239</v>
      </c>
      <c r="AQ94">
        <v>24</v>
      </c>
      <c r="AR94" s="3">
        <f t="shared" si="65"/>
        <v>3.3850493653032441</v>
      </c>
      <c r="AS94">
        <v>37</v>
      </c>
      <c r="AT94" s="3">
        <f t="shared" si="66"/>
        <v>5.2186177715091677</v>
      </c>
      <c r="AU94" t="s">
        <v>368</v>
      </c>
      <c r="AV94" s="72">
        <f>Дума_партии[[#This Row],[КОИБ]]</f>
        <v>2017</v>
      </c>
      <c r="AW94" s="1" t="str">
        <f>IF(Дума_партии[[#This Row],[Наблюдателей]]=0,"",Дума_партии[[#This Row],[Наблюдателей]])</f>
        <v/>
      </c>
      <c r="AX94"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276.08219178082192</v>
      </c>
      <c r="AY94" s="10">
        <f>2*(Мособлдума_партии[[#This Row],[6. Всероссийская политическая партия "ЕДИНАЯ РОССИЯ"]]-(AB$203/100)*Мособлдума_партии[[#This Row],[Число действительных бюллетеней]])</f>
        <v>403.08</v>
      </c>
      <c r="AZ94" s="10">
        <f>(Мособлдума_партии[[#This Row],[Вброс]]+Мособлдума_партии[[#This Row],[Перекладывание]])/2</f>
        <v>339.58109589041095</v>
      </c>
    </row>
    <row r="95" spans="2:52" x14ac:dyDescent="0.4">
      <c r="B95" t="s">
        <v>74</v>
      </c>
      <c r="C95" t="s">
        <v>102</v>
      </c>
      <c r="D95" t="s">
        <v>138</v>
      </c>
      <c r="E95" t="s">
        <v>223</v>
      </c>
      <c r="F95" s="8">
        <f t="shared" ca="1" si="51"/>
        <v>3987</v>
      </c>
      <c r="G95" s="8" t="str">
        <f>Дума_партии[[#This Row],[Местоположение]]</f>
        <v>Часцы</v>
      </c>
      <c r="H95" s="2" t="str">
        <f>LEFT(Мособлдума_партии[[#This Row],[tik]],4)&amp;"."&amp;IF(ISNUMBER(VALUE(RIGHT(Мособлдума_партии[[#This Row],[tik]]))),RIGHT(Мособлдума_партии[[#This Row],[tik]]),"")</f>
        <v>Один.</v>
      </c>
      <c r="I95">
        <v>2424</v>
      </c>
      <c r="J95" s="8">
        <f>Мособлдума_партии[[#This Row],[Число избирателей, внесенных в список на момент окончания голосования]]</f>
        <v>2424</v>
      </c>
      <c r="K95">
        <v>1900</v>
      </c>
      <c r="L95" s="1"/>
      <c r="M95">
        <v>1473</v>
      </c>
      <c r="N95">
        <v>78</v>
      </c>
      <c r="O95" s="3">
        <f t="shared" si="52"/>
        <v>63.985148514851488</v>
      </c>
      <c r="P95" s="3">
        <f t="shared" si="53"/>
        <v>3.217821782178218</v>
      </c>
      <c r="Q95">
        <v>349</v>
      </c>
      <c r="R95">
        <v>78</v>
      </c>
      <c r="S95">
        <v>1473</v>
      </c>
      <c r="T95" s="1">
        <f t="shared" si="54"/>
        <v>1551</v>
      </c>
      <c r="U95" s="3">
        <f t="shared" si="55"/>
        <v>5.0290135396518378</v>
      </c>
      <c r="V95">
        <v>31</v>
      </c>
      <c r="W95" s="3">
        <f t="shared" si="56"/>
        <v>1.9987105093488071</v>
      </c>
      <c r="X95">
        <v>1520</v>
      </c>
      <c r="Y95">
        <v>0</v>
      </c>
      <c r="Z95">
        <v>0</v>
      </c>
      <c r="AA95">
        <v>7</v>
      </c>
      <c r="AB95" s="3">
        <f t="shared" si="57"/>
        <v>0.4513217279174726</v>
      </c>
      <c r="AC95">
        <v>73</v>
      </c>
      <c r="AD95" s="3">
        <f t="shared" si="58"/>
        <v>4.7066408768536432</v>
      </c>
      <c r="AE95">
        <v>68</v>
      </c>
      <c r="AF95" s="3">
        <f t="shared" si="59"/>
        <v>4.3842682140554485</v>
      </c>
      <c r="AG95">
        <v>41</v>
      </c>
      <c r="AH95" s="3">
        <f t="shared" si="60"/>
        <v>2.6434558349451964</v>
      </c>
      <c r="AI95">
        <v>202</v>
      </c>
      <c r="AJ95" s="3">
        <f t="shared" si="61"/>
        <v>13.023855577047067</v>
      </c>
      <c r="AK95">
        <v>1036</v>
      </c>
      <c r="AL95" s="3">
        <f t="shared" si="62"/>
        <v>66.795615731785944</v>
      </c>
      <c r="AM95">
        <v>13</v>
      </c>
      <c r="AN95" s="3">
        <f t="shared" si="63"/>
        <v>0.83816892327530623</v>
      </c>
      <c r="AO95">
        <v>14</v>
      </c>
      <c r="AP95" s="3">
        <f t="shared" si="64"/>
        <v>0.90264345583494521</v>
      </c>
      <c r="AQ95">
        <v>23</v>
      </c>
      <c r="AR95" s="3">
        <f t="shared" si="65"/>
        <v>1.4829142488716958</v>
      </c>
      <c r="AS95">
        <v>43</v>
      </c>
      <c r="AT95" s="3">
        <f t="shared" si="66"/>
        <v>2.7724049000644744</v>
      </c>
      <c r="AU95" t="s">
        <v>369</v>
      </c>
      <c r="AV95" s="72" t="str">
        <f>Дума_партии[[#This Row],[КОИБ]]</f>
        <v>N</v>
      </c>
      <c r="AW95" s="1" t="str">
        <f>IF(Дума_партии[[#This Row],[Наблюдателей]]=0,"",Дума_партии[[#This Row],[Наблюдателей]])</f>
        <v/>
      </c>
      <c r="AX95"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856.98630136986299</v>
      </c>
      <c r="AY95" s="10">
        <f>2*(Мособлдума_партии[[#This Row],[6. Всероссийская политическая партия "ЕДИНАЯ РОССИЯ"]]-(AB$203/100)*Мособлдума_партии[[#This Row],[Число действительных бюллетеней]])</f>
        <v>1251.1999999999998</v>
      </c>
      <c r="AZ95" s="10">
        <f>(Мособлдума_партии[[#This Row],[Вброс]]+Мособлдума_партии[[#This Row],[Перекладывание]])/2</f>
        <v>1054.0931506849315</v>
      </c>
    </row>
    <row r="96" spans="2:52" x14ac:dyDescent="0.4">
      <c r="B96" t="s">
        <v>74</v>
      </c>
      <c r="C96" t="s">
        <v>102</v>
      </c>
      <c r="D96" t="s">
        <v>138</v>
      </c>
      <c r="E96" t="s">
        <v>224</v>
      </c>
      <c r="F96" s="8">
        <f t="shared" ca="1" si="51"/>
        <v>3989</v>
      </c>
      <c r="G96" s="8" t="str">
        <f>Дума_партии[[#This Row],[Местоположение]]</f>
        <v>Гарь-Покровское</v>
      </c>
      <c r="H96" s="2" t="str">
        <f>LEFT(Мособлдума_партии[[#This Row],[tik]],4)&amp;"."&amp;IF(ISNUMBER(VALUE(RIGHT(Мособлдума_партии[[#This Row],[tik]]))),RIGHT(Мособлдума_партии[[#This Row],[tik]]),"")</f>
        <v>Один.</v>
      </c>
      <c r="I96">
        <v>2162</v>
      </c>
      <c r="J96" s="8">
        <f>Мособлдума_партии[[#This Row],[Число избирателей, внесенных в список на момент окончания голосования]]</f>
        <v>2162</v>
      </c>
      <c r="K96">
        <v>1700</v>
      </c>
      <c r="L96" s="1"/>
      <c r="M96">
        <v>1377</v>
      </c>
      <c r="N96">
        <v>32</v>
      </c>
      <c r="O96" s="3">
        <f t="shared" si="52"/>
        <v>65.171137835337646</v>
      </c>
      <c r="P96" s="3">
        <f t="shared" si="53"/>
        <v>1.4801110083256244</v>
      </c>
      <c r="Q96">
        <v>291</v>
      </c>
      <c r="R96">
        <v>32</v>
      </c>
      <c r="S96">
        <v>1374</v>
      </c>
      <c r="T96" s="1">
        <f t="shared" si="54"/>
        <v>1406</v>
      </c>
      <c r="U96" s="3">
        <f t="shared" si="55"/>
        <v>2.275960170697013</v>
      </c>
      <c r="V96">
        <v>11</v>
      </c>
      <c r="W96" s="3">
        <f t="shared" si="56"/>
        <v>0.78236130867709819</v>
      </c>
      <c r="X96">
        <v>1395</v>
      </c>
      <c r="Y96">
        <v>0</v>
      </c>
      <c r="Z96">
        <v>0</v>
      </c>
      <c r="AA96">
        <v>11</v>
      </c>
      <c r="AB96" s="3">
        <f t="shared" si="57"/>
        <v>0.78236130867709819</v>
      </c>
      <c r="AC96">
        <v>72</v>
      </c>
      <c r="AD96" s="3">
        <f t="shared" si="58"/>
        <v>5.1209103840682788</v>
      </c>
      <c r="AE96">
        <v>52</v>
      </c>
      <c r="AF96" s="3">
        <f t="shared" si="59"/>
        <v>3.6984352773826457</v>
      </c>
      <c r="AG96">
        <v>28</v>
      </c>
      <c r="AH96" s="3">
        <f t="shared" si="60"/>
        <v>1.9914651493598863</v>
      </c>
      <c r="AI96">
        <v>295</v>
      </c>
      <c r="AJ96" s="3">
        <f t="shared" si="61"/>
        <v>20.981507823613086</v>
      </c>
      <c r="AK96">
        <v>807</v>
      </c>
      <c r="AL96" s="3">
        <f t="shared" si="62"/>
        <v>57.396870554765293</v>
      </c>
      <c r="AM96">
        <v>47</v>
      </c>
      <c r="AN96" s="3">
        <f t="shared" si="63"/>
        <v>3.3428165007112374</v>
      </c>
      <c r="AO96">
        <v>24</v>
      </c>
      <c r="AP96" s="3">
        <f t="shared" si="64"/>
        <v>1.7069701280227596</v>
      </c>
      <c r="AQ96">
        <v>27</v>
      </c>
      <c r="AR96" s="3">
        <f t="shared" si="65"/>
        <v>1.9203413940256044</v>
      </c>
      <c r="AS96">
        <v>32</v>
      </c>
      <c r="AT96" s="3">
        <f t="shared" si="66"/>
        <v>2.275960170697013</v>
      </c>
      <c r="AU96" t="s">
        <v>369</v>
      </c>
      <c r="AV96" s="72" t="str">
        <f>Дума_партии[[#This Row],[КОИБ]]</f>
        <v>N</v>
      </c>
      <c r="AW96" s="1" t="str">
        <f>IF(Дума_партии[[#This Row],[Наблюдателей]]=0,"",Дума_партии[[#This Row],[Наблюдателей]])</f>
        <v/>
      </c>
      <c r="AX96"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589.52054794520541</v>
      </c>
      <c r="AY96" s="10">
        <f>2*(Мособлдума_партии[[#This Row],[6. Всероссийская политическая партия "ЕДИНАЯ РОССИЯ"]]-(AB$203/100)*Мособлдума_партии[[#This Row],[Число действительных бюллетеней]])</f>
        <v>860.69999999999993</v>
      </c>
      <c r="AZ96" s="10">
        <f>(Мособлдума_партии[[#This Row],[Вброс]]+Мособлдума_партии[[#This Row],[Перекладывание]])/2</f>
        <v>725.11027397260273</v>
      </c>
    </row>
    <row r="97" spans="2:52" x14ac:dyDescent="0.4">
      <c r="B97" t="s">
        <v>74</v>
      </c>
      <c r="C97" t="s">
        <v>102</v>
      </c>
      <c r="D97" t="s">
        <v>138</v>
      </c>
      <c r="E97" t="s">
        <v>225</v>
      </c>
      <c r="F97" s="8">
        <f t="shared" ca="1" si="51"/>
        <v>3991</v>
      </c>
      <c r="G97" s="8" t="str">
        <f>Дума_партии[[#This Row],[Местоположение]]</f>
        <v>Покровский Городок</v>
      </c>
      <c r="H97" s="2" t="str">
        <f>LEFT(Мособлдума_партии[[#This Row],[tik]],4)&amp;"."&amp;IF(ISNUMBER(VALUE(RIGHT(Мособлдума_партии[[#This Row],[tik]]))),RIGHT(Мособлдума_партии[[#This Row],[tik]]),"")</f>
        <v>Один.</v>
      </c>
      <c r="I97">
        <v>1230</v>
      </c>
      <c r="J97" s="8">
        <f>Мособлдума_партии[[#This Row],[Число избирателей, внесенных в список на момент окончания голосования]]</f>
        <v>1230</v>
      </c>
      <c r="K97">
        <v>900</v>
      </c>
      <c r="L97" s="1"/>
      <c r="M97">
        <v>534</v>
      </c>
      <c r="N97">
        <v>71</v>
      </c>
      <c r="O97" s="3">
        <f t="shared" si="52"/>
        <v>49.1869918699187</v>
      </c>
      <c r="P97" s="3">
        <f t="shared" si="53"/>
        <v>5.7723577235772359</v>
      </c>
      <c r="Q97">
        <v>295</v>
      </c>
      <c r="R97">
        <v>71</v>
      </c>
      <c r="S97">
        <v>534</v>
      </c>
      <c r="T97" s="1">
        <f t="shared" si="54"/>
        <v>605</v>
      </c>
      <c r="U97" s="3">
        <f t="shared" si="55"/>
        <v>11.735537190082646</v>
      </c>
      <c r="V97">
        <v>25</v>
      </c>
      <c r="W97" s="3">
        <f t="shared" si="56"/>
        <v>4.1322314049586772</v>
      </c>
      <c r="X97">
        <v>580</v>
      </c>
      <c r="Y97">
        <v>0</v>
      </c>
      <c r="Z97">
        <v>0</v>
      </c>
      <c r="AA97">
        <v>18</v>
      </c>
      <c r="AB97" s="3">
        <f t="shared" si="57"/>
        <v>2.9752066115702478</v>
      </c>
      <c r="AC97">
        <v>75</v>
      </c>
      <c r="AD97" s="3">
        <f t="shared" si="58"/>
        <v>12.396694214876034</v>
      </c>
      <c r="AE97">
        <v>31</v>
      </c>
      <c r="AF97" s="3">
        <f t="shared" si="59"/>
        <v>5.1239669421487601</v>
      </c>
      <c r="AG97">
        <v>44</v>
      </c>
      <c r="AH97" s="3">
        <f t="shared" si="60"/>
        <v>7.2727272727272725</v>
      </c>
      <c r="AI97">
        <v>47</v>
      </c>
      <c r="AJ97" s="3">
        <f t="shared" si="61"/>
        <v>7.7685950413223139</v>
      </c>
      <c r="AK97">
        <v>285</v>
      </c>
      <c r="AL97" s="3">
        <f t="shared" si="62"/>
        <v>47.107438016528924</v>
      </c>
      <c r="AM97">
        <v>5</v>
      </c>
      <c r="AN97" s="3">
        <f t="shared" si="63"/>
        <v>0.82644628099173556</v>
      </c>
      <c r="AO97">
        <v>10</v>
      </c>
      <c r="AP97" s="3">
        <f t="shared" si="64"/>
        <v>1.6528925619834711</v>
      </c>
      <c r="AQ97">
        <v>22</v>
      </c>
      <c r="AR97" s="3">
        <f t="shared" si="65"/>
        <v>3.6363636363636362</v>
      </c>
      <c r="AS97">
        <v>43</v>
      </c>
      <c r="AT97" s="3">
        <f t="shared" si="66"/>
        <v>7.1074380165289259</v>
      </c>
      <c r="AU97" t="s">
        <v>369</v>
      </c>
      <c r="AV97" s="72" t="str">
        <f>Дума_партии[[#This Row],[КОИБ]]</f>
        <v>N</v>
      </c>
      <c r="AW97" s="1" t="str">
        <f>IF(Дума_партии[[#This Row],[Наблюдателей]]=0,"",Дума_партии[[#This Row],[Наблюдателей]])</f>
        <v/>
      </c>
      <c r="AX97"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175.89041095890411</v>
      </c>
      <c r="AY97" s="10">
        <f>2*(Мособлдума_партии[[#This Row],[6. Всероссийская политическая партия "ЕДИНАЯ РОССИЯ"]]-(AB$203/100)*Мособлдума_партии[[#This Row],[Число действительных бюллетеней]])</f>
        <v>256.79999999999995</v>
      </c>
      <c r="AZ97" s="10">
        <f>(Мособлдума_партии[[#This Row],[Вброс]]+Мособлдума_партии[[#This Row],[Перекладывание]])/2</f>
        <v>216.34520547945203</v>
      </c>
    </row>
    <row r="98" spans="2:52" x14ac:dyDescent="0.4">
      <c r="B98" t="s">
        <v>74</v>
      </c>
      <c r="C98" t="s">
        <v>102</v>
      </c>
      <c r="D98" t="s">
        <v>138</v>
      </c>
      <c r="E98" t="s">
        <v>226</v>
      </c>
      <c r="F98" s="8">
        <f t="shared" ca="1" si="51"/>
        <v>3992</v>
      </c>
      <c r="G98" s="8" t="str">
        <f>Дума_партии[[#This Row],[Местоположение]]</f>
        <v>Часцы</v>
      </c>
      <c r="H98" s="2" t="str">
        <f>LEFT(Мособлдума_партии[[#This Row],[tik]],4)&amp;"."&amp;IF(ISNUMBER(VALUE(RIGHT(Мособлдума_партии[[#This Row],[tik]]))),RIGHT(Мособлдума_партии[[#This Row],[tik]]),"")</f>
        <v>Один.</v>
      </c>
      <c r="I98">
        <v>901</v>
      </c>
      <c r="J98" s="8">
        <f>Мособлдума_партии[[#This Row],[Число избирателей, внесенных в список на момент окончания голосования]]</f>
        <v>901</v>
      </c>
      <c r="K98">
        <v>800</v>
      </c>
      <c r="L98" s="1"/>
      <c r="M98">
        <v>449</v>
      </c>
      <c r="N98">
        <v>31</v>
      </c>
      <c r="O98" s="3">
        <f t="shared" si="52"/>
        <v>53.274139844617089</v>
      </c>
      <c r="P98" s="3">
        <f t="shared" si="53"/>
        <v>3.4406215316315207</v>
      </c>
      <c r="Q98">
        <v>320</v>
      </c>
      <c r="R98">
        <v>31</v>
      </c>
      <c r="S98">
        <v>449</v>
      </c>
      <c r="T98" s="1">
        <f t="shared" si="54"/>
        <v>480</v>
      </c>
      <c r="U98" s="3">
        <f t="shared" si="55"/>
        <v>6.458333333333333</v>
      </c>
      <c r="V98">
        <v>3</v>
      </c>
      <c r="W98" s="3">
        <f t="shared" si="56"/>
        <v>0.625</v>
      </c>
      <c r="X98">
        <v>477</v>
      </c>
      <c r="Y98">
        <v>0</v>
      </c>
      <c r="Z98">
        <v>0</v>
      </c>
      <c r="AA98">
        <v>0</v>
      </c>
      <c r="AB98" s="3">
        <f t="shared" si="57"/>
        <v>0</v>
      </c>
      <c r="AC98">
        <v>36</v>
      </c>
      <c r="AD98" s="3">
        <f t="shared" si="58"/>
        <v>7.5</v>
      </c>
      <c r="AE98">
        <v>13</v>
      </c>
      <c r="AF98" s="3">
        <f t="shared" si="59"/>
        <v>2.7083333333333335</v>
      </c>
      <c r="AG98">
        <v>2</v>
      </c>
      <c r="AH98" s="3">
        <f t="shared" si="60"/>
        <v>0.41666666666666669</v>
      </c>
      <c r="AI98">
        <v>64</v>
      </c>
      <c r="AJ98" s="3">
        <f t="shared" si="61"/>
        <v>13.333333333333334</v>
      </c>
      <c r="AK98">
        <v>353</v>
      </c>
      <c r="AL98" s="3">
        <f t="shared" si="62"/>
        <v>73.541666666666671</v>
      </c>
      <c r="AM98">
        <v>0</v>
      </c>
      <c r="AN98" s="3">
        <f t="shared" si="63"/>
        <v>0</v>
      </c>
      <c r="AO98">
        <v>4</v>
      </c>
      <c r="AP98" s="3">
        <f t="shared" si="64"/>
        <v>0.83333333333333337</v>
      </c>
      <c r="AQ98">
        <v>0</v>
      </c>
      <c r="AR98" s="3">
        <f t="shared" si="65"/>
        <v>0</v>
      </c>
      <c r="AS98">
        <v>5</v>
      </c>
      <c r="AT98" s="3">
        <f t="shared" si="66"/>
        <v>1.0416666666666667</v>
      </c>
      <c r="AU98" t="s">
        <v>369</v>
      </c>
      <c r="AV98" s="72" t="str">
        <f>Дума_партии[[#This Row],[КОИБ]]</f>
        <v>N</v>
      </c>
      <c r="AW98" s="1" t="str">
        <f>IF(Дума_партии[[#This Row],[Наблюдателей]]=0,"",Дума_партии[[#This Row],[Наблюдателей]])</f>
        <v/>
      </c>
      <c r="AX98"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307.13698630136986</v>
      </c>
      <c r="AY98" s="10">
        <f>2*(Мособлдума_партии[[#This Row],[6. Всероссийская политическая партия "ЕДИНАЯ РОССИЯ"]]-(AB$203/100)*Мособлдума_партии[[#This Row],[Число действительных бюллетеней]])</f>
        <v>448.41999999999996</v>
      </c>
      <c r="AZ98" s="10">
        <f>(Мособлдума_партии[[#This Row],[Вброс]]+Мособлдума_партии[[#This Row],[Перекладывание]])/2</f>
        <v>377.77849315068488</v>
      </c>
    </row>
    <row r="99" spans="2:52" x14ac:dyDescent="0.4">
      <c r="B99" t="s">
        <v>74</v>
      </c>
      <c r="C99" t="s">
        <v>366</v>
      </c>
      <c r="D99" t="s">
        <v>227</v>
      </c>
      <c r="E99" t="s">
        <v>228</v>
      </c>
      <c r="F99" s="8">
        <f t="shared" ca="1" si="51"/>
        <v>1947</v>
      </c>
      <c r="G99" s="8" t="str">
        <f>Дума_партии[[#This Row],[Местоположение]]</f>
        <v>Одинцово</v>
      </c>
      <c r="H99" s="2" t="str">
        <f>LEFT(Мособлдума_партии[[#This Row],[tik]],4)&amp;"."&amp;IF(ISNUMBER(VALUE(RIGHT(Мособлдума_партии[[#This Row],[tik]]))),RIGHT(Мособлдума_партии[[#This Row],[tik]]),"")</f>
        <v>Один.2</v>
      </c>
      <c r="I99">
        <v>2387</v>
      </c>
      <c r="J99" s="8">
        <f>Мособлдума_партии[[#This Row],[Число избирателей, внесенных в список на момент окончания голосования]]</f>
        <v>2387</v>
      </c>
      <c r="K99">
        <v>2000</v>
      </c>
      <c r="L99" s="1"/>
      <c r="M99">
        <v>706</v>
      </c>
      <c r="N99">
        <v>429</v>
      </c>
      <c r="O99" s="3">
        <f t="shared" si="52"/>
        <v>47.549224968579807</v>
      </c>
      <c r="P99" s="3">
        <f t="shared" si="53"/>
        <v>17.972350230414747</v>
      </c>
      <c r="Q99">
        <v>865</v>
      </c>
      <c r="R99">
        <v>429</v>
      </c>
      <c r="S99">
        <v>706</v>
      </c>
      <c r="T99" s="1">
        <f t="shared" si="54"/>
        <v>1135</v>
      </c>
      <c r="U99" s="3">
        <f t="shared" si="55"/>
        <v>37.797356828193834</v>
      </c>
      <c r="V99">
        <v>252</v>
      </c>
      <c r="W99" s="3">
        <f t="shared" si="56"/>
        <v>22.202643171806166</v>
      </c>
      <c r="X99">
        <v>883</v>
      </c>
      <c r="Y99">
        <v>0</v>
      </c>
      <c r="Z99">
        <v>0</v>
      </c>
      <c r="AA99">
        <v>18</v>
      </c>
      <c r="AB99" s="3">
        <f t="shared" si="57"/>
        <v>1.5859030837004404</v>
      </c>
      <c r="AC99">
        <v>58</v>
      </c>
      <c r="AD99" s="3">
        <f t="shared" si="58"/>
        <v>5.1101321585903081</v>
      </c>
      <c r="AE99">
        <v>53</v>
      </c>
      <c r="AF99" s="3">
        <f t="shared" si="59"/>
        <v>4.6696035242290748</v>
      </c>
      <c r="AG99">
        <v>55</v>
      </c>
      <c r="AH99" s="3">
        <f t="shared" si="60"/>
        <v>4.8458149779735686</v>
      </c>
      <c r="AI99">
        <v>170</v>
      </c>
      <c r="AJ99" s="3">
        <f t="shared" si="61"/>
        <v>14.977973568281937</v>
      </c>
      <c r="AK99">
        <v>404</v>
      </c>
      <c r="AL99" s="3">
        <f t="shared" si="62"/>
        <v>35.594713656387668</v>
      </c>
      <c r="AM99">
        <v>18</v>
      </c>
      <c r="AN99" s="3">
        <f t="shared" si="63"/>
        <v>1.5859030837004404</v>
      </c>
      <c r="AO99">
        <v>17</v>
      </c>
      <c r="AP99" s="3">
        <f t="shared" si="64"/>
        <v>1.4977973568281939</v>
      </c>
      <c r="AQ99">
        <v>25</v>
      </c>
      <c r="AR99" s="3">
        <f t="shared" si="65"/>
        <v>2.2026431718061672</v>
      </c>
      <c r="AS99">
        <v>65</v>
      </c>
      <c r="AT99" s="3">
        <f t="shared" si="66"/>
        <v>5.7268722466960353</v>
      </c>
      <c r="AU99" t="s">
        <v>370</v>
      </c>
      <c r="AV99" s="72">
        <f>Дума_партии[[#This Row],[КОИБ]]</f>
        <v>2017</v>
      </c>
      <c r="AW99" s="1" t="str">
        <f>IF(Дума_партии[[#This Row],[Наблюдателей]]=0,"",Дума_партии[[#This Row],[Наблюдателей]])</f>
        <v/>
      </c>
      <c r="AX99"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226.83561643835614</v>
      </c>
      <c r="AY99" s="10">
        <f>2*(Мособлдума_партии[[#This Row],[6. Всероссийская политическая партия "ЕДИНАЯ РОССИЯ"]]-(AB$203/100)*Мособлдума_партии[[#This Row],[Число действительных бюллетеней]])</f>
        <v>331.17999999999995</v>
      </c>
      <c r="AZ99" s="10">
        <f>(Мособлдума_партии[[#This Row],[Вброс]]+Мособлдума_партии[[#This Row],[Перекладывание]])/2</f>
        <v>279.00780821917806</v>
      </c>
    </row>
    <row r="100" spans="2:52" x14ac:dyDescent="0.4">
      <c r="B100" t="s">
        <v>74</v>
      </c>
      <c r="C100" t="s">
        <v>366</v>
      </c>
      <c r="D100" t="s">
        <v>227</v>
      </c>
      <c r="E100" t="s">
        <v>229</v>
      </c>
      <c r="F100" s="8">
        <f t="shared" ca="1" si="51"/>
        <v>1948</v>
      </c>
      <c r="G100" s="8" t="str">
        <f>Дума_партии[[#This Row],[Местоположение]]</f>
        <v>Одинцово</v>
      </c>
      <c r="H100" s="2" t="str">
        <f>LEFT(Мособлдума_партии[[#This Row],[tik]],4)&amp;"."&amp;IF(ISNUMBER(VALUE(RIGHT(Мособлдума_партии[[#This Row],[tik]]))),RIGHT(Мособлдума_партии[[#This Row],[tik]]),"")</f>
        <v>Один.2</v>
      </c>
      <c r="I100">
        <v>1535</v>
      </c>
      <c r="J100" s="8">
        <f>Мособлдума_партии[[#This Row],[Число избирателей, внесенных в список на момент окончания голосования]]</f>
        <v>1535</v>
      </c>
      <c r="K100">
        <v>1300</v>
      </c>
      <c r="L100" s="1"/>
      <c r="M100">
        <v>436</v>
      </c>
      <c r="N100">
        <v>366</v>
      </c>
      <c r="O100" s="3">
        <f t="shared" si="52"/>
        <v>52.247557003257327</v>
      </c>
      <c r="P100" s="3">
        <f t="shared" si="53"/>
        <v>23.843648208469055</v>
      </c>
      <c r="Q100">
        <v>498</v>
      </c>
      <c r="R100">
        <v>366</v>
      </c>
      <c r="S100">
        <v>436</v>
      </c>
      <c r="T100" s="1">
        <f t="shared" si="54"/>
        <v>802</v>
      </c>
      <c r="U100" s="3">
        <f t="shared" si="55"/>
        <v>45.635910224438902</v>
      </c>
      <c r="V100">
        <v>32</v>
      </c>
      <c r="W100" s="3">
        <f t="shared" si="56"/>
        <v>3.9900249376558605</v>
      </c>
      <c r="X100">
        <v>770</v>
      </c>
      <c r="Y100">
        <v>0</v>
      </c>
      <c r="Z100">
        <v>0</v>
      </c>
      <c r="AA100">
        <v>13</v>
      </c>
      <c r="AB100" s="3">
        <f t="shared" si="57"/>
        <v>1.6209476309226933</v>
      </c>
      <c r="AC100">
        <v>38</v>
      </c>
      <c r="AD100" s="3">
        <f t="shared" si="58"/>
        <v>4.7381546134663344</v>
      </c>
      <c r="AE100">
        <v>28</v>
      </c>
      <c r="AF100" s="3">
        <f t="shared" si="59"/>
        <v>3.491271820448878</v>
      </c>
      <c r="AG100">
        <v>29</v>
      </c>
      <c r="AH100" s="3">
        <f t="shared" si="60"/>
        <v>3.6159600997506236</v>
      </c>
      <c r="AI100">
        <v>123</v>
      </c>
      <c r="AJ100" s="3">
        <f t="shared" si="61"/>
        <v>15.336658354114713</v>
      </c>
      <c r="AK100">
        <v>435</v>
      </c>
      <c r="AL100" s="3">
        <f t="shared" si="62"/>
        <v>54.239401496259354</v>
      </c>
      <c r="AM100">
        <v>9</v>
      </c>
      <c r="AN100" s="3">
        <f t="shared" si="63"/>
        <v>1.1221945137157108</v>
      </c>
      <c r="AO100">
        <v>19</v>
      </c>
      <c r="AP100" s="3">
        <f t="shared" si="64"/>
        <v>2.3690773067331672</v>
      </c>
      <c r="AQ100">
        <v>21</v>
      </c>
      <c r="AR100" s="3">
        <f t="shared" si="65"/>
        <v>2.6184538653366585</v>
      </c>
      <c r="AS100">
        <v>55</v>
      </c>
      <c r="AT100" s="3">
        <f t="shared" si="66"/>
        <v>6.8578553615960098</v>
      </c>
      <c r="AU100" t="s">
        <v>370</v>
      </c>
      <c r="AV100" s="72">
        <f>Дума_партии[[#This Row],[КОИБ]]</f>
        <v>2017</v>
      </c>
      <c r="AW100" s="1" t="str">
        <f>IF(Дума_партии[[#This Row],[Наблюдателей]]=0,"",Дума_партии[[#This Row],[Наблюдателей]])</f>
        <v/>
      </c>
      <c r="AX100"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311.09589041095887</v>
      </c>
      <c r="AY100" s="10">
        <f>2*(Мособлдума_партии[[#This Row],[6. Всероссийская политическая партия "ЕДИНАЯ РОССИЯ"]]-(AB$203/100)*Мособлдума_партии[[#This Row],[Число действительных бюллетеней]])</f>
        <v>454.2</v>
      </c>
      <c r="AZ100" s="10">
        <f>(Мособлдума_партии[[#This Row],[Вброс]]+Мособлдума_партии[[#This Row],[Перекладывание]])/2</f>
        <v>382.64794520547946</v>
      </c>
    </row>
    <row r="101" spans="2:52" x14ac:dyDescent="0.4">
      <c r="B101" t="s">
        <v>74</v>
      </c>
      <c r="C101" t="s">
        <v>366</v>
      </c>
      <c r="D101" t="s">
        <v>227</v>
      </c>
      <c r="E101" t="s">
        <v>230</v>
      </c>
      <c r="F101" s="8">
        <f t="shared" ca="1" si="51"/>
        <v>1950</v>
      </c>
      <c r="G101" s="8" t="str">
        <f>Дума_партии[[#This Row],[Местоположение]]</f>
        <v>Одинцово</v>
      </c>
      <c r="H101" s="2" t="str">
        <f>LEFT(Мособлдума_партии[[#This Row],[tik]],4)&amp;"."&amp;IF(ISNUMBER(VALUE(RIGHT(Мособлдума_партии[[#This Row],[tik]]))),RIGHT(Мособлдума_партии[[#This Row],[tik]]),"")</f>
        <v>Один.2</v>
      </c>
      <c r="I101">
        <v>2645</v>
      </c>
      <c r="J101" s="8">
        <f>Мособлдума_партии[[#This Row],[Число избирателей, внесенных в список на момент окончания голосования]]</f>
        <v>2645</v>
      </c>
      <c r="K101">
        <v>2000</v>
      </c>
      <c r="L101" s="1"/>
      <c r="M101">
        <v>809</v>
      </c>
      <c r="N101">
        <v>13</v>
      </c>
      <c r="O101" s="3">
        <f t="shared" si="52"/>
        <v>31.077504725897921</v>
      </c>
      <c r="P101" s="3">
        <f t="shared" si="53"/>
        <v>0.49149338374291113</v>
      </c>
      <c r="Q101">
        <v>1178</v>
      </c>
      <c r="R101">
        <v>13</v>
      </c>
      <c r="S101">
        <v>809</v>
      </c>
      <c r="T101" s="1">
        <f t="shared" si="54"/>
        <v>822</v>
      </c>
      <c r="U101" s="3">
        <f t="shared" si="55"/>
        <v>1.5815085158150852</v>
      </c>
      <c r="V101">
        <v>43</v>
      </c>
      <c r="W101" s="3">
        <f t="shared" si="56"/>
        <v>5.2311435523114351</v>
      </c>
      <c r="X101">
        <v>779</v>
      </c>
      <c r="Y101">
        <v>0</v>
      </c>
      <c r="Z101">
        <v>0</v>
      </c>
      <c r="AA101">
        <v>10</v>
      </c>
      <c r="AB101" s="3">
        <f t="shared" si="57"/>
        <v>1.2165450121654502</v>
      </c>
      <c r="AC101">
        <v>75</v>
      </c>
      <c r="AD101" s="3">
        <f t="shared" si="58"/>
        <v>9.1240875912408761</v>
      </c>
      <c r="AE101">
        <v>83</v>
      </c>
      <c r="AF101" s="3">
        <f t="shared" si="59"/>
        <v>10.097323600973237</v>
      </c>
      <c r="AG101">
        <v>58</v>
      </c>
      <c r="AH101" s="3">
        <f t="shared" si="60"/>
        <v>7.0559610705596105</v>
      </c>
      <c r="AI101">
        <v>186</v>
      </c>
      <c r="AJ101" s="3">
        <f t="shared" si="61"/>
        <v>22.627737226277372</v>
      </c>
      <c r="AK101">
        <v>185</v>
      </c>
      <c r="AL101" s="3">
        <f t="shared" si="62"/>
        <v>22.506082725060828</v>
      </c>
      <c r="AM101">
        <v>31</v>
      </c>
      <c r="AN101" s="3">
        <f t="shared" si="63"/>
        <v>3.7712895377128954</v>
      </c>
      <c r="AO101">
        <v>17</v>
      </c>
      <c r="AP101" s="3">
        <f t="shared" si="64"/>
        <v>2.0681265206812651</v>
      </c>
      <c r="AQ101">
        <v>37</v>
      </c>
      <c r="AR101" s="3">
        <f t="shared" si="65"/>
        <v>4.5012165450121655</v>
      </c>
      <c r="AS101">
        <v>97</v>
      </c>
      <c r="AT101" s="3">
        <f t="shared" si="66"/>
        <v>11.800486618004866</v>
      </c>
      <c r="AU101" t="s">
        <v>370</v>
      </c>
      <c r="AV101" s="72">
        <f>Дума_партии[[#This Row],[КОИБ]]</f>
        <v>2017</v>
      </c>
      <c r="AW101" s="1">
        <f>IF(Дума_партии[[#This Row],[Наблюдателей]]=0,"",Дума_партии[[#This Row],[Наблюдателей]])</f>
        <v>1</v>
      </c>
      <c r="AX101"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-34.69863013698631</v>
      </c>
      <c r="AY101" s="10">
        <f>2*(Мособлдума_партии[[#This Row],[6. Всероссийская политическая партия "ЕДИНАЯ РОССИЯ"]]-(AB$203/100)*Мособлдума_партии[[#This Row],[Число действительных бюллетеней]])</f>
        <v>-50.660000000000025</v>
      </c>
      <c r="AZ101" s="10">
        <f>(Мособлдума_партии[[#This Row],[Вброс]]+Мособлдума_партии[[#This Row],[Перекладывание]])/2</f>
        <v>-42.679315068493167</v>
      </c>
    </row>
    <row r="102" spans="2:52" x14ac:dyDescent="0.4">
      <c r="B102" t="s">
        <v>74</v>
      </c>
      <c r="C102" t="s">
        <v>366</v>
      </c>
      <c r="D102" t="s">
        <v>227</v>
      </c>
      <c r="E102" t="s">
        <v>231</v>
      </c>
      <c r="F102" s="8">
        <f t="shared" ca="1" si="51"/>
        <v>1953</v>
      </c>
      <c r="G102" s="8" t="str">
        <f>Дума_партии[[#This Row],[Местоположение]]</f>
        <v>Одинцово</v>
      </c>
      <c r="H102" s="2" t="str">
        <f>LEFT(Мособлдума_партии[[#This Row],[tik]],4)&amp;"."&amp;IF(ISNUMBER(VALUE(RIGHT(Мособлдума_партии[[#This Row],[tik]]))),RIGHT(Мособлдума_партии[[#This Row],[tik]]),"")</f>
        <v>Один.2</v>
      </c>
      <c r="I102">
        <v>2043</v>
      </c>
      <c r="J102" s="8">
        <f>Мособлдума_партии[[#This Row],[Число избирателей, внесенных в список на момент окончания голосования]]</f>
        <v>2043</v>
      </c>
      <c r="K102">
        <v>1500</v>
      </c>
      <c r="L102" s="1"/>
      <c r="M102">
        <v>688</v>
      </c>
      <c r="N102">
        <v>15</v>
      </c>
      <c r="O102" s="3">
        <f t="shared" si="52"/>
        <v>34.410181106216349</v>
      </c>
      <c r="P102" s="3">
        <f t="shared" si="53"/>
        <v>0.73421439060205584</v>
      </c>
      <c r="Q102">
        <v>797</v>
      </c>
      <c r="R102">
        <v>15</v>
      </c>
      <c r="S102">
        <v>688</v>
      </c>
      <c r="T102" s="1">
        <f t="shared" si="54"/>
        <v>703</v>
      </c>
      <c r="U102" s="3">
        <f t="shared" si="55"/>
        <v>2.1337126600284493</v>
      </c>
      <c r="V102">
        <v>36</v>
      </c>
      <c r="W102" s="3">
        <f t="shared" si="56"/>
        <v>5.1209103840682788</v>
      </c>
      <c r="X102">
        <v>667</v>
      </c>
      <c r="Y102">
        <v>0</v>
      </c>
      <c r="Z102">
        <v>0</v>
      </c>
      <c r="AA102">
        <v>9</v>
      </c>
      <c r="AB102" s="3">
        <f t="shared" si="57"/>
        <v>1.2802275960170697</v>
      </c>
      <c r="AC102">
        <v>58</v>
      </c>
      <c r="AD102" s="3">
        <f t="shared" si="58"/>
        <v>8.2503556187766716</v>
      </c>
      <c r="AE102">
        <v>65</v>
      </c>
      <c r="AF102" s="3">
        <f t="shared" si="59"/>
        <v>9.2460881934566146</v>
      </c>
      <c r="AG102">
        <v>39</v>
      </c>
      <c r="AH102" s="3">
        <f t="shared" si="60"/>
        <v>5.5476529160739689</v>
      </c>
      <c r="AI102">
        <v>162</v>
      </c>
      <c r="AJ102" s="3">
        <f t="shared" si="61"/>
        <v>23.044096728307256</v>
      </c>
      <c r="AK102">
        <v>197</v>
      </c>
      <c r="AL102" s="3">
        <f t="shared" si="62"/>
        <v>28.022759601706969</v>
      </c>
      <c r="AM102">
        <v>24</v>
      </c>
      <c r="AN102" s="3">
        <f t="shared" si="63"/>
        <v>3.4139402560455192</v>
      </c>
      <c r="AO102">
        <v>13</v>
      </c>
      <c r="AP102" s="3">
        <f t="shared" si="64"/>
        <v>1.8492176386913228</v>
      </c>
      <c r="AQ102">
        <v>29</v>
      </c>
      <c r="AR102" s="3">
        <f t="shared" si="65"/>
        <v>4.1251778093883358</v>
      </c>
      <c r="AS102">
        <v>71</v>
      </c>
      <c r="AT102" s="3">
        <f t="shared" si="66"/>
        <v>10.099573257467995</v>
      </c>
      <c r="AU102" t="s">
        <v>370</v>
      </c>
      <c r="AV102" s="72" t="str">
        <f>Дума_партии[[#This Row],[КОИБ]]</f>
        <v>N</v>
      </c>
      <c r="AW102" s="1" t="str">
        <f>IF(Дума_партии[[#This Row],[Наблюдателей]]=0,"",Дума_партии[[#This Row],[Наблюдателей]])</f>
        <v/>
      </c>
      <c r="AX102"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23.164383561643831</v>
      </c>
      <c r="AY102" s="10">
        <f>2*(Мособлдума_партии[[#This Row],[6. Всероссийская политическая партия "ЕДИНАЯ РОССИЯ"]]-(AB$203/100)*Мособлдума_партии[[#This Row],[Число действительных бюллетеней]])</f>
        <v>33.819999999999993</v>
      </c>
      <c r="AZ102" s="10">
        <f>(Мособлдума_партии[[#This Row],[Вброс]]+Мособлдума_партии[[#This Row],[Перекладывание]])/2</f>
        <v>28.492191780821912</v>
      </c>
    </row>
    <row r="103" spans="2:52" x14ac:dyDescent="0.4">
      <c r="B103" t="s">
        <v>74</v>
      </c>
      <c r="C103" t="s">
        <v>366</v>
      </c>
      <c r="D103" t="s">
        <v>227</v>
      </c>
      <c r="E103" t="s">
        <v>232</v>
      </c>
      <c r="F103" s="8">
        <f t="shared" ca="1" si="51"/>
        <v>1954</v>
      </c>
      <c r="G103" s="8" t="str">
        <f>Дума_партии[[#This Row],[Местоположение]]</f>
        <v>Одинцово</v>
      </c>
      <c r="H103" s="2" t="str">
        <f>LEFT(Мособлдума_партии[[#This Row],[tik]],4)&amp;"."&amp;IF(ISNUMBER(VALUE(RIGHT(Мособлдума_партии[[#This Row],[tik]]))),RIGHT(Мособлдума_партии[[#This Row],[tik]]),"")</f>
        <v>Один.2</v>
      </c>
      <c r="I103">
        <v>1990</v>
      </c>
      <c r="J103" s="8">
        <f>Мособлдума_партии[[#This Row],[Число избирателей, внесенных в список на момент окончания голосования]]</f>
        <v>1990</v>
      </c>
      <c r="K103">
        <v>1200</v>
      </c>
      <c r="L103" s="1"/>
      <c r="M103">
        <v>842</v>
      </c>
      <c r="N103">
        <v>314</v>
      </c>
      <c r="O103" s="3">
        <f t="shared" si="52"/>
        <v>58.090452261306531</v>
      </c>
      <c r="P103" s="3">
        <f t="shared" si="53"/>
        <v>15.778894472361809</v>
      </c>
      <c r="Q103">
        <v>44</v>
      </c>
      <c r="R103">
        <v>314</v>
      </c>
      <c r="S103">
        <v>836</v>
      </c>
      <c r="T103" s="1">
        <f t="shared" si="54"/>
        <v>1150</v>
      </c>
      <c r="U103" s="3">
        <f t="shared" si="55"/>
        <v>27.304347826086957</v>
      </c>
      <c r="V103">
        <v>154</v>
      </c>
      <c r="W103" s="3">
        <f t="shared" si="56"/>
        <v>13.391304347826088</v>
      </c>
      <c r="X103">
        <v>996</v>
      </c>
      <c r="Y103">
        <v>0</v>
      </c>
      <c r="Z103">
        <v>0</v>
      </c>
      <c r="AA103">
        <v>11</v>
      </c>
      <c r="AB103" s="3">
        <f t="shared" si="57"/>
        <v>0.95652173913043481</v>
      </c>
      <c r="AC103">
        <v>113</v>
      </c>
      <c r="AD103" s="3">
        <f t="shared" si="58"/>
        <v>9.8260869565217384</v>
      </c>
      <c r="AE103">
        <v>74</v>
      </c>
      <c r="AF103" s="3">
        <f t="shared" si="59"/>
        <v>6.4347826086956523</v>
      </c>
      <c r="AG103">
        <v>55</v>
      </c>
      <c r="AH103" s="3">
        <f t="shared" si="60"/>
        <v>4.7826086956521738</v>
      </c>
      <c r="AI103">
        <v>194</v>
      </c>
      <c r="AJ103" s="3">
        <f t="shared" si="61"/>
        <v>16.869565217391305</v>
      </c>
      <c r="AK103">
        <v>388</v>
      </c>
      <c r="AL103" s="3">
        <f t="shared" si="62"/>
        <v>33.739130434782609</v>
      </c>
      <c r="AM103">
        <v>21</v>
      </c>
      <c r="AN103" s="3">
        <f t="shared" si="63"/>
        <v>1.826086956521739</v>
      </c>
      <c r="AO103">
        <v>19</v>
      </c>
      <c r="AP103" s="3">
        <f t="shared" si="64"/>
        <v>1.6521739130434783</v>
      </c>
      <c r="AQ103">
        <v>27</v>
      </c>
      <c r="AR103" s="3">
        <f t="shared" si="65"/>
        <v>2.347826086956522</v>
      </c>
      <c r="AS103">
        <v>94</v>
      </c>
      <c r="AT103" s="3">
        <f t="shared" si="66"/>
        <v>8.1739130434782616</v>
      </c>
      <c r="AU103" t="s">
        <v>370</v>
      </c>
      <c r="AV103" s="72" t="str">
        <f>Дума_партии[[#This Row],[КОИБ]]</f>
        <v>N</v>
      </c>
      <c r="AW103" s="1">
        <f>IF(Дума_партии[[#This Row],[Наблюдателей]]=0,"",Дума_партии[[#This Row],[Наблюдателей]])</f>
        <v>1</v>
      </c>
      <c r="AX103"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163.12328767123284</v>
      </c>
      <c r="AY103" s="10">
        <f>2*(Мособлдума_партии[[#This Row],[6. Всероссийская политическая партия "ЕДИНАЯ РОССИЯ"]]-(AB$203/100)*Мособлдума_партии[[#This Row],[Число действительных бюллетеней]])</f>
        <v>238.15999999999997</v>
      </c>
      <c r="AZ103" s="10">
        <f>(Мособлдума_партии[[#This Row],[Вброс]]+Мособлдума_партии[[#This Row],[Перекладывание]])/2</f>
        <v>200.64164383561641</v>
      </c>
    </row>
    <row r="104" spans="2:52" x14ac:dyDescent="0.4">
      <c r="B104" t="s">
        <v>74</v>
      </c>
      <c r="C104" t="s">
        <v>366</v>
      </c>
      <c r="D104" t="s">
        <v>227</v>
      </c>
      <c r="E104" t="s">
        <v>233</v>
      </c>
      <c r="F104" s="8">
        <f t="shared" ca="1" si="51"/>
        <v>1955</v>
      </c>
      <c r="G104" s="8" t="str">
        <f>Дума_партии[[#This Row],[Местоположение]]</f>
        <v>Одинцово</v>
      </c>
      <c r="H104" s="2" t="str">
        <f>LEFT(Мособлдума_партии[[#This Row],[tik]],4)&amp;"."&amp;IF(ISNUMBER(VALUE(RIGHT(Мособлдума_партии[[#This Row],[tik]]))),RIGHT(Мособлдума_партии[[#This Row],[tik]]),"")</f>
        <v>Один.2</v>
      </c>
      <c r="I104">
        <v>988</v>
      </c>
      <c r="J104" s="8">
        <f>Мособлдума_партии[[#This Row],[Число избирателей, внесенных в список на момент окончания голосования]]</f>
        <v>988</v>
      </c>
      <c r="K104">
        <v>900</v>
      </c>
      <c r="L104" s="1"/>
      <c r="M104">
        <v>421</v>
      </c>
      <c r="N104">
        <v>115</v>
      </c>
      <c r="O104" s="3">
        <f t="shared" si="52"/>
        <v>54.251012145748987</v>
      </c>
      <c r="P104" s="3">
        <f t="shared" si="53"/>
        <v>11.639676113360323</v>
      </c>
      <c r="Q104">
        <v>364</v>
      </c>
      <c r="R104">
        <v>115</v>
      </c>
      <c r="S104">
        <v>416</v>
      </c>
      <c r="T104" s="1">
        <f t="shared" si="54"/>
        <v>531</v>
      </c>
      <c r="U104" s="3">
        <f t="shared" si="55"/>
        <v>21.657250470809792</v>
      </c>
      <c r="V104">
        <v>35</v>
      </c>
      <c r="W104" s="3">
        <f t="shared" si="56"/>
        <v>6.5913370998116765</v>
      </c>
      <c r="X104">
        <v>496</v>
      </c>
      <c r="Y104">
        <v>0</v>
      </c>
      <c r="Z104">
        <v>0</v>
      </c>
      <c r="AA104">
        <v>6</v>
      </c>
      <c r="AB104" s="3">
        <f t="shared" si="57"/>
        <v>1.1299435028248588</v>
      </c>
      <c r="AC104">
        <v>59</v>
      </c>
      <c r="AD104" s="3">
        <f t="shared" si="58"/>
        <v>11.111111111111111</v>
      </c>
      <c r="AE104">
        <v>34</v>
      </c>
      <c r="AF104" s="3">
        <f t="shared" si="59"/>
        <v>6.4030131826741998</v>
      </c>
      <c r="AG104">
        <v>13</v>
      </c>
      <c r="AH104" s="3">
        <f t="shared" si="60"/>
        <v>2.4482109227871938</v>
      </c>
      <c r="AI104">
        <v>81</v>
      </c>
      <c r="AJ104" s="3">
        <f t="shared" si="61"/>
        <v>15.254237288135593</v>
      </c>
      <c r="AK104">
        <v>234</v>
      </c>
      <c r="AL104" s="3">
        <f t="shared" si="62"/>
        <v>44.067796610169495</v>
      </c>
      <c r="AM104">
        <v>12</v>
      </c>
      <c r="AN104" s="3">
        <f t="shared" si="63"/>
        <v>2.2598870056497176</v>
      </c>
      <c r="AO104">
        <v>11</v>
      </c>
      <c r="AP104" s="3">
        <f t="shared" si="64"/>
        <v>2.0715630885122409</v>
      </c>
      <c r="AQ104">
        <v>10</v>
      </c>
      <c r="AR104" s="3">
        <f t="shared" si="65"/>
        <v>1.8832391713747645</v>
      </c>
      <c r="AS104">
        <v>36</v>
      </c>
      <c r="AT104" s="3">
        <f t="shared" si="66"/>
        <v>6.7796610169491522</v>
      </c>
      <c r="AU104" t="s">
        <v>370</v>
      </c>
      <c r="AV104" s="72" t="str">
        <f>Дума_партии[[#This Row],[КОИБ]]</f>
        <v>N</v>
      </c>
      <c r="AW104" s="1" t="str">
        <f>IF(Дума_партии[[#This Row],[Наблюдателей]]=0,"",Дума_партии[[#This Row],[Наблюдателей]])</f>
        <v/>
      </c>
      <c r="AX104"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137.0958904109589</v>
      </c>
      <c r="AY104" s="10">
        <f>2*(Мособлдума_партии[[#This Row],[6. Всероссийская политическая партия "ЕДИНАЯ РОССИЯ"]]-(AB$203/100)*Мособлдума_партии[[#This Row],[Число действительных бюллетеней]])</f>
        <v>200.15999999999997</v>
      </c>
      <c r="AZ104" s="10">
        <f>(Мособлдума_партии[[#This Row],[Вброс]]+Мособлдума_партии[[#This Row],[Перекладывание]])/2</f>
        <v>168.62794520547942</v>
      </c>
    </row>
    <row r="105" spans="2:52" x14ac:dyDescent="0.4">
      <c r="B105" t="s">
        <v>74</v>
      </c>
      <c r="C105" t="s">
        <v>366</v>
      </c>
      <c r="D105" t="s">
        <v>227</v>
      </c>
      <c r="E105" t="s">
        <v>234</v>
      </c>
      <c r="F105" s="8">
        <f t="shared" ca="1" si="51"/>
        <v>1956</v>
      </c>
      <c r="G105" s="8" t="str">
        <f>Дума_партии[[#This Row],[Местоположение]]</f>
        <v>Одинцово рай. больн.</v>
      </c>
      <c r="H105" s="2" t="str">
        <f>LEFT(Мособлдума_партии[[#This Row],[tik]],4)&amp;"."&amp;IF(ISNUMBER(VALUE(RIGHT(Мособлдума_партии[[#This Row],[tik]]))),RIGHT(Мособлдума_партии[[#This Row],[tik]]),"")</f>
        <v>Один.2</v>
      </c>
      <c r="I105">
        <v>132</v>
      </c>
      <c r="J105" s="8">
        <f>Мособлдума_партии[[#This Row],[Число избирателей, внесенных в список на момент окончания голосования]]</f>
        <v>132</v>
      </c>
      <c r="K105">
        <v>132</v>
      </c>
      <c r="L105" s="1"/>
      <c r="M105">
        <v>19</v>
      </c>
      <c r="N105">
        <v>113</v>
      </c>
      <c r="O105" s="3">
        <f t="shared" si="52"/>
        <v>100</v>
      </c>
      <c r="P105" s="3">
        <f t="shared" si="53"/>
        <v>85.606060606060609</v>
      </c>
      <c r="Q105">
        <v>0</v>
      </c>
      <c r="R105">
        <v>113</v>
      </c>
      <c r="S105">
        <v>19</v>
      </c>
      <c r="T105" s="1">
        <f t="shared" si="54"/>
        <v>132</v>
      </c>
      <c r="U105" s="3">
        <f t="shared" si="55"/>
        <v>85.606060606060609</v>
      </c>
      <c r="V105">
        <v>0</v>
      </c>
      <c r="W105" s="3">
        <f t="shared" si="56"/>
        <v>0</v>
      </c>
      <c r="X105">
        <v>132</v>
      </c>
      <c r="Y105">
        <v>0</v>
      </c>
      <c r="Z105">
        <v>0</v>
      </c>
      <c r="AA105">
        <v>0</v>
      </c>
      <c r="AB105" s="3">
        <f t="shared" si="57"/>
        <v>0</v>
      </c>
      <c r="AC105">
        <v>2</v>
      </c>
      <c r="AD105" s="3">
        <f t="shared" si="58"/>
        <v>1.5151515151515151</v>
      </c>
      <c r="AE105">
        <v>2</v>
      </c>
      <c r="AF105" s="3">
        <f t="shared" si="59"/>
        <v>1.5151515151515151</v>
      </c>
      <c r="AG105">
        <v>2</v>
      </c>
      <c r="AH105" s="3">
        <f t="shared" si="60"/>
        <v>1.5151515151515151</v>
      </c>
      <c r="AI105">
        <v>5</v>
      </c>
      <c r="AJ105" s="3">
        <f t="shared" si="61"/>
        <v>3.7878787878787881</v>
      </c>
      <c r="AK105">
        <v>116</v>
      </c>
      <c r="AL105" s="3">
        <f t="shared" si="62"/>
        <v>87.878787878787875</v>
      </c>
      <c r="AM105">
        <v>1</v>
      </c>
      <c r="AN105" s="3">
        <f t="shared" si="63"/>
        <v>0.75757575757575757</v>
      </c>
      <c r="AO105">
        <v>1</v>
      </c>
      <c r="AP105" s="3">
        <f t="shared" si="64"/>
        <v>0.75757575757575757</v>
      </c>
      <c r="AQ105">
        <v>2</v>
      </c>
      <c r="AR105" s="3">
        <f t="shared" si="65"/>
        <v>1.5151515151515151</v>
      </c>
      <c r="AS105">
        <v>1</v>
      </c>
      <c r="AT105" s="3">
        <f t="shared" si="66"/>
        <v>0.75757575757575757</v>
      </c>
      <c r="AU105" t="s">
        <v>370</v>
      </c>
      <c r="AV105" s="72" t="str">
        <f>Дума_партии[[#This Row],[КОИБ]]</f>
        <v>N</v>
      </c>
      <c r="AW105" s="1" t="str">
        <f>IF(Дума_партии[[#This Row],[Наблюдателей]]=0,"",Дума_партии[[#This Row],[Наблюдателей]])</f>
        <v/>
      </c>
      <c r="AX105"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110.08219178082192</v>
      </c>
      <c r="AY105" s="10">
        <f>2*(Мособлдума_партии[[#This Row],[6. Всероссийская политическая партия "ЕДИНАЯ РОССИЯ"]]-(AB$203/100)*Мособлдума_партии[[#This Row],[Число действительных бюллетеней]])</f>
        <v>160.72</v>
      </c>
      <c r="AZ105" s="10">
        <f>(Мособлдума_партии[[#This Row],[Вброс]]+Мособлдума_партии[[#This Row],[Перекладывание]])/2</f>
        <v>135.40109589041094</v>
      </c>
    </row>
    <row r="106" spans="2:52" x14ac:dyDescent="0.4">
      <c r="B106" t="s">
        <v>74</v>
      </c>
      <c r="C106" t="s">
        <v>366</v>
      </c>
      <c r="D106" t="s">
        <v>227</v>
      </c>
      <c r="E106" t="s">
        <v>235</v>
      </c>
      <c r="F106" s="8">
        <f t="shared" ca="1" si="51"/>
        <v>1957</v>
      </c>
      <c r="G106" s="8" t="str">
        <f>Дума_партии[[#This Row],[Местоположение]]</f>
        <v>Одинцово клин. госпиталь</v>
      </c>
      <c r="H106" s="2" t="str">
        <f>LEFT(Мособлдума_партии[[#This Row],[tik]],4)&amp;"."&amp;IF(ISNUMBER(VALUE(RIGHT(Мособлдума_партии[[#This Row],[tik]]))),RIGHT(Мособлдума_партии[[#This Row],[tik]]),"")</f>
        <v>Один.2</v>
      </c>
      <c r="I106">
        <v>83</v>
      </c>
      <c r="J106" s="8">
        <f>Мособлдума_партии[[#This Row],[Число избирателей, внесенных в список на момент окончания голосования]]</f>
        <v>83</v>
      </c>
      <c r="K106">
        <v>83</v>
      </c>
      <c r="L106" s="1"/>
      <c r="M106">
        <v>80</v>
      </c>
      <c r="N106">
        <v>0</v>
      </c>
      <c r="O106" s="3">
        <f t="shared" si="52"/>
        <v>96.385542168674704</v>
      </c>
      <c r="P106" s="3">
        <f t="shared" si="53"/>
        <v>0</v>
      </c>
      <c r="Q106">
        <v>3</v>
      </c>
      <c r="R106">
        <v>0</v>
      </c>
      <c r="S106">
        <v>80</v>
      </c>
      <c r="T106" s="1">
        <f t="shared" si="54"/>
        <v>80</v>
      </c>
      <c r="U106" s="3">
        <f t="shared" si="55"/>
        <v>0</v>
      </c>
      <c r="V106">
        <v>3</v>
      </c>
      <c r="W106" s="3">
        <f t="shared" si="56"/>
        <v>3.75</v>
      </c>
      <c r="X106">
        <v>77</v>
      </c>
      <c r="Y106">
        <v>0</v>
      </c>
      <c r="Z106">
        <v>0</v>
      </c>
      <c r="AA106">
        <v>1</v>
      </c>
      <c r="AB106" s="3">
        <f t="shared" si="57"/>
        <v>1.25</v>
      </c>
      <c r="AC106">
        <v>9</v>
      </c>
      <c r="AD106" s="3">
        <f t="shared" si="58"/>
        <v>11.25</v>
      </c>
      <c r="AE106">
        <v>1</v>
      </c>
      <c r="AF106" s="3">
        <f t="shared" si="59"/>
        <v>1.25</v>
      </c>
      <c r="AG106">
        <v>8</v>
      </c>
      <c r="AH106" s="3">
        <f t="shared" si="60"/>
        <v>10</v>
      </c>
      <c r="AI106">
        <v>16</v>
      </c>
      <c r="AJ106" s="3">
        <f t="shared" si="61"/>
        <v>20</v>
      </c>
      <c r="AK106">
        <v>32</v>
      </c>
      <c r="AL106" s="3">
        <f t="shared" si="62"/>
        <v>40</v>
      </c>
      <c r="AM106">
        <v>2</v>
      </c>
      <c r="AN106" s="3">
        <f t="shared" si="63"/>
        <v>2.5</v>
      </c>
      <c r="AO106">
        <v>2</v>
      </c>
      <c r="AP106" s="3">
        <f t="shared" si="64"/>
        <v>2.5</v>
      </c>
      <c r="AQ106">
        <v>1</v>
      </c>
      <c r="AR106" s="3">
        <f t="shared" si="65"/>
        <v>1.25</v>
      </c>
      <c r="AS106">
        <v>5</v>
      </c>
      <c r="AT106" s="3">
        <f t="shared" si="66"/>
        <v>6.25</v>
      </c>
      <c r="AU106" t="s">
        <v>370</v>
      </c>
      <c r="AV106" s="72" t="str">
        <f>Дума_партии[[#This Row],[КОИБ]]</f>
        <v>N</v>
      </c>
      <c r="AW106" s="1" t="str">
        <f>IF(Дума_партии[[#This Row],[Наблюдателей]]=0,"",Дума_партии[[#This Row],[Наблюдателей]])</f>
        <v/>
      </c>
      <c r="AX106"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15.356164383561641</v>
      </c>
      <c r="AY106" s="10">
        <f>2*(Мособлдума_партии[[#This Row],[6. Всероссийская политическая партия "ЕДИНАЯ РОССИЯ"]]-(AB$203/100)*Мособлдума_партии[[#This Row],[Число действительных бюллетеней]])</f>
        <v>22.419999999999995</v>
      </c>
      <c r="AZ106" s="10">
        <f>(Мособлдума_партии[[#This Row],[Вброс]]+Мособлдума_партии[[#This Row],[Перекладывание]])/2</f>
        <v>18.888082191780818</v>
      </c>
    </row>
    <row r="107" spans="2:52" x14ac:dyDescent="0.4">
      <c r="B107" t="s">
        <v>74</v>
      </c>
      <c r="C107" t="s">
        <v>366</v>
      </c>
      <c r="D107" t="s">
        <v>227</v>
      </c>
      <c r="E107" t="s">
        <v>236</v>
      </c>
      <c r="F107" s="8">
        <f t="shared" ca="1" si="51"/>
        <v>1959</v>
      </c>
      <c r="G107" s="8" t="str">
        <f>Дума_партии[[#This Row],[Местоположение]]</f>
        <v>Одинцово</v>
      </c>
      <c r="H107" s="2" t="str">
        <f>LEFT(Мособлдума_партии[[#This Row],[tik]],4)&amp;"."&amp;IF(ISNUMBER(VALUE(RIGHT(Мособлдума_партии[[#This Row],[tik]]))),RIGHT(Мособлдума_партии[[#This Row],[tik]]),"")</f>
        <v>Один.2</v>
      </c>
      <c r="I107">
        <v>1763</v>
      </c>
      <c r="J107" s="8">
        <f>Мособлдума_партии[[#This Row],[Число избирателей, внесенных в список на момент окончания голосования]]</f>
        <v>1763</v>
      </c>
      <c r="K107">
        <v>1500</v>
      </c>
      <c r="L107" s="1"/>
      <c r="M107">
        <v>659</v>
      </c>
      <c r="N107">
        <v>129</v>
      </c>
      <c r="O107" s="3">
        <f t="shared" si="52"/>
        <v>44.696539988655701</v>
      </c>
      <c r="P107" s="3">
        <f t="shared" si="53"/>
        <v>7.3170731707317076</v>
      </c>
      <c r="Q107">
        <v>712</v>
      </c>
      <c r="R107">
        <v>129</v>
      </c>
      <c r="S107">
        <v>659</v>
      </c>
      <c r="T107" s="1">
        <f t="shared" si="54"/>
        <v>788</v>
      </c>
      <c r="U107" s="3">
        <f t="shared" si="55"/>
        <v>16.370558375634516</v>
      </c>
      <c r="V107">
        <v>28</v>
      </c>
      <c r="W107" s="3">
        <f t="shared" si="56"/>
        <v>3.5532994923857868</v>
      </c>
      <c r="X107">
        <v>760</v>
      </c>
      <c r="Y107">
        <v>0</v>
      </c>
      <c r="Z107">
        <v>0</v>
      </c>
      <c r="AA107">
        <v>10</v>
      </c>
      <c r="AB107" s="3">
        <f t="shared" si="57"/>
        <v>1.2690355329949239</v>
      </c>
      <c r="AC107">
        <v>65</v>
      </c>
      <c r="AD107" s="3">
        <f t="shared" si="58"/>
        <v>8.2487309644670059</v>
      </c>
      <c r="AE107">
        <v>50</v>
      </c>
      <c r="AF107" s="3">
        <f t="shared" si="59"/>
        <v>6.345177664974619</v>
      </c>
      <c r="AG107">
        <v>54</v>
      </c>
      <c r="AH107" s="3">
        <f t="shared" si="60"/>
        <v>6.8527918781725887</v>
      </c>
      <c r="AI107">
        <v>174</v>
      </c>
      <c r="AJ107" s="3">
        <f t="shared" si="61"/>
        <v>22.081218274111674</v>
      </c>
      <c r="AK107">
        <v>263</v>
      </c>
      <c r="AL107" s="3">
        <f t="shared" si="62"/>
        <v>33.3756345177665</v>
      </c>
      <c r="AM107">
        <v>21</v>
      </c>
      <c r="AN107" s="3">
        <f t="shared" si="63"/>
        <v>2.6649746192893402</v>
      </c>
      <c r="AO107">
        <v>26</v>
      </c>
      <c r="AP107" s="3">
        <f t="shared" si="64"/>
        <v>3.2994923857868019</v>
      </c>
      <c r="AQ107">
        <v>38</v>
      </c>
      <c r="AR107" s="3">
        <f t="shared" si="65"/>
        <v>4.8223350253807107</v>
      </c>
      <c r="AS107">
        <v>59</v>
      </c>
      <c r="AT107" s="3">
        <f t="shared" si="66"/>
        <v>7.4873096446700504</v>
      </c>
      <c r="AU107" t="s">
        <v>370</v>
      </c>
      <c r="AV107" s="72">
        <f>Дума_партии[[#This Row],[КОИБ]]</f>
        <v>2017</v>
      </c>
      <c r="AW107" s="1" t="str">
        <f>IF(Дума_партии[[#This Row],[Наблюдателей]]=0,"",Дума_партии[[#This Row],[Наблюдателей]])</f>
        <v/>
      </c>
      <c r="AX107"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79.178082191780817</v>
      </c>
      <c r="AY107" s="10">
        <f>2*(Мособлдума_партии[[#This Row],[6. Всероссийская политическая партия "ЕДИНАЯ РОССИЯ"]]-(AB$203/100)*Мособлдума_партии[[#This Row],[Число действительных бюллетеней]])</f>
        <v>115.59999999999997</v>
      </c>
      <c r="AZ107" s="10">
        <f>(Мособлдума_партии[[#This Row],[Вброс]]+Мособлдума_партии[[#This Row],[Перекладывание]])/2</f>
        <v>97.389041095890391</v>
      </c>
    </row>
    <row r="108" spans="2:52" x14ac:dyDescent="0.4">
      <c r="B108" t="s">
        <v>74</v>
      </c>
      <c r="C108" t="s">
        <v>366</v>
      </c>
      <c r="D108" t="s">
        <v>227</v>
      </c>
      <c r="E108" t="s">
        <v>237</v>
      </c>
      <c r="F108" s="8">
        <f t="shared" ca="1" si="51"/>
        <v>1960</v>
      </c>
      <c r="G108" s="8" t="str">
        <f>Дума_партии[[#This Row],[Местоположение]]</f>
        <v>Одинцово</v>
      </c>
      <c r="H108" s="2" t="str">
        <f>LEFT(Мособлдума_партии[[#This Row],[tik]],4)&amp;"."&amp;IF(ISNUMBER(VALUE(RIGHT(Мособлдума_партии[[#This Row],[tik]]))),RIGHT(Мособлдума_партии[[#This Row],[tik]]),"")</f>
        <v>Один.2</v>
      </c>
      <c r="I108">
        <v>1063</v>
      </c>
      <c r="J108" s="8">
        <f>Мособлдума_партии[[#This Row],[Число избирателей, внесенных в список на момент окончания голосования]]</f>
        <v>1063</v>
      </c>
      <c r="K108">
        <v>1000</v>
      </c>
      <c r="L108" s="1"/>
      <c r="M108">
        <v>366</v>
      </c>
      <c r="N108">
        <v>6</v>
      </c>
      <c r="O108" s="3">
        <f t="shared" si="52"/>
        <v>34.995296331138285</v>
      </c>
      <c r="P108" s="3">
        <f t="shared" si="53"/>
        <v>0.56444026340545628</v>
      </c>
      <c r="Q108">
        <v>628</v>
      </c>
      <c r="R108">
        <v>6</v>
      </c>
      <c r="S108">
        <v>366</v>
      </c>
      <c r="T108" s="1">
        <f t="shared" si="54"/>
        <v>372</v>
      </c>
      <c r="U108" s="3">
        <f t="shared" si="55"/>
        <v>1.6129032258064515</v>
      </c>
      <c r="V108">
        <v>19</v>
      </c>
      <c r="W108" s="3">
        <f t="shared" si="56"/>
        <v>5.10752688172043</v>
      </c>
      <c r="X108">
        <v>353</v>
      </c>
      <c r="Y108">
        <v>0</v>
      </c>
      <c r="Z108">
        <v>0</v>
      </c>
      <c r="AA108">
        <v>5</v>
      </c>
      <c r="AB108" s="3">
        <f t="shared" si="57"/>
        <v>1.3440860215053763</v>
      </c>
      <c r="AC108">
        <v>38</v>
      </c>
      <c r="AD108" s="3">
        <f t="shared" si="58"/>
        <v>10.21505376344086</v>
      </c>
      <c r="AE108">
        <v>37</v>
      </c>
      <c r="AF108" s="3">
        <f t="shared" si="59"/>
        <v>9.9462365591397841</v>
      </c>
      <c r="AG108">
        <v>20</v>
      </c>
      <c r="AH108" s="3">
        <f t="shared" si="60"/>
        <v>5.376344086021505</v>
      </c>
      <c r="AI108">
        <v>99</v>
      </c>
      <c r="AJ108" s="3">
        <f t="shared" si="61"/>
        <v>26.612903225806452</v>
      </c>
      <c r="AK108">
        <v>99</v>
      </c>
      <c r="AL108" s="3">
        <f t="shared" si="62"/>
        <v>26.612903225806452</v>
      </c>
      <c r="AM108">
        <v>5</v>
      </c>
      <c r="AN108" s="3">
        <f t="shared" si="63"/>
        <v>1.3440860215053763</v>
      </c>
      <c r="AO108">
        <v>7</v>
      </c>
      <c r="AP108" s="3">
        <f t="shared" si="64"/>
        <v>1.881720430107527</v>
      </c>
      <c r="AQ108">
        <v>12</v>
      </c>
      <c r="AR108" s="3">
        <f t="shared" si="65"/>
        <v>3.225806451612903</v>
      </c>
      <c r="AS108">
        <v>31</v>
      </c>
      <c r="AT108" s="3">
        <f t="shared" si="66"/>
        <v>8.3333333333333339</v>
      </c>
      <c r="AU108" t="s">
        <v>370</v>
      </c>
      <c r="AV108" s="72">
        <f>Дума_партии[[#This Row],[КОИБ]]</f>
        <v>2017</v>
      </c>
      <c r="AW108" s="1" t="str">
        <f>IF(Дума_партии[[#This Row],[Наблюдателей]]=0,"",Дума_партии[[#This Row],[Наблюдателей]])</f>
        <v/>
      </c>
      <c r="AX108"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5.0547945205479294</v>
      </c>
      <c r="AY108" s="10">
        <f>2*(Мособлдума_партии[[#This Row],[6. Всероссийская политическая партия "ЕДИНАЯ РОССИЯ"]]-(AB$203/100)*Мособлдума_партии[[#This Row],[Число действительных бюллетеней]])</f>
        <v>7.3799999999999955</v>
      </c>
      <c r="AZ108" s="10">
        <f>(Мособлдума_партии[[#This Row],[Вброс]]+Мособлдума_партии[[#This Row],[Перекладывание]])/2</f>
        <v>6.2173972602739624</v>
      </c>
    </row>
    <row r="109" spans="2:52" x14ac:dyDescent="0.4">
      <c r="B109" t="s">
        <v>74</v>
      </c>
      <c r="C109" t="s">
        <v>366</v>
      </c>
      <c r="D109" t="s">
        <v>227</v>
      </c>
      <c r="E109" t="s">
        <v>238</v>
      </c>
      <c r="F109" s="8">
        <f t="shared" ca="1" si="51"/>
        <v>1963</v>
      </c>
      <c r="G109" s="8" t="str">
        <f>Дума_партии[[#This Row],[Местоположение]]</f>
        <v>Одинцово</v>
      </c>
      <c r="H109" s="2" t="str">
        <f>LEFT(Мособлдума_партии[[#This Row],[tik]],4)&amp;"."&amp;IF(ISNUMBER(VALUE(RIGHT(Мособлдума_партии[[#This Row],[tik]]))),RIGHT(Мособлдума_партии[[#This Row],[tik]]),"")</f>
        <v>Один.2</v>
      </c>
      <c r="I109">
        <v>2316</v>
      </c>
      <c r="J109" s="8">
        <f>Мособлдума_партии[[#This Row],[Число избирателей, внесенных в список на момент окончания голосования]]</f>
        <v>2316</v>
      </c>
      <c r="K109">
        <v>2000</v>
      </c>
      <c r="L109" s="1"/>
      <c r="M109">
        <v>771</v>
      </c>
      <c r="N109">
        <v>48</v>
      </c>
      <c r="O109" s="3">
        <f t="shared" si="52"/>
        <v>35.362694300518136</v>
      </c>
      <c r="P109" s="3">
        <f t="shared" si="53"/>
        <v>2.0725388601036268</v>
      </c>
      <c r="Q109">
        <v>1181</v>
      </c>
      <c r="R109">
        <v>48</v>
      </c>
      <c r="S109">
        <v>771</v>
      </c>
      <c r="T109" s="1">
        <f t="shared" si="54"/>
        <v>819</v>
      </c>
      <c r="U109" s="3">
        <f t="shared" si="55"/>
        <v>5.8608058608058604</v>
      </c>
      <c r="V109">
        <v>34</v>
      </c>
      <c r="W109" s="3">
        <f t="shared" si="56"/>
        <v>4.1514041514041518</v>
      </c>
      <c r="X109">
        <v>785</v>
      </c>
      <c r="Y109">
        <v>0</v>
      </c>
      <c r="Z109">
        <v>0</v>
      </c>
      <c r="AA109">
        <v>19</v>
      </c>
      <c r="AB109" s="3">
        <f t="shared" si="57"/>
        <v>2.3199023199023201</v>
      </c>
      <c r="AC109">
        <v>74</v>
      </c>
      <c r="AD109" s="3">
        <f t="shared" si="58"/>
        <v>9.0354090354090353</v>
      </c>
      <c r="AE109">
        <v>74</v>
      </c>
      <c r="AF109" s="3">
        <f t="shared" si="59"/>
        <v>9.0354090354090353</v>
      </c>
      <c r="AG109">
        <v>43</v>
      </c>
      <c r="AH109" s="3">
        <f t="shared" si="60"/>
        <v>5.2503052503052503</v>
      </c>
      <c r="AI109">
        <v>215</v>
      </c>
      <c r="AJ109" s="3">
        <f t="shared" si="61"/>
        <v>26.251526251526251</v>
      </c>
      <c r="AK109">
        <v>199</v>
      </c>
      <c r="AL109" s="3">
        <f t="shared" si="62"/>
        <v>24.297924297924297</v>
      </c>
      <c r="AM109">
        <v>26</v>
      </c>
      <c r="AN109" s="3">
        <f t="shared" si="63"/>
        <v>3.1746031746031744</v>
      </c>
      <c r="AO109">
        <v>30</v>
      </c>
      <c r="AP109" s="3">
        <f t="shared" si="64"/>
        <v>3.6630036630036629</v>
      </c>
      <c r="AQ109">
        <v>23</v>
      </c>
      <c r="AR109" s="3">
        <f t="shared" si="65"/>
        <v>2.8083028083028081</v>
      </c>
      <c r="AS109">
        <v>82</v>
      </c>
      <c r="AT109" s="3">
        <f t="shared" si="66"/>
        <v>10.012210012210012</v>
      </c>
      <c r="AU109" t="s">
        <v>370</v>
      </c>
      <c r="AV109" s="72">
        <f>Дума_партии[[#This Row],[КОИБ]]</f>
        <v>2017</v>
      </c>
      <c r="AW109" s="1">
        <f>IF(Дума_партии[[#This Row],[Наблюдателей]]=0,"",Дума_партии[[#This Row],[Наблюдателей]])</f>
        <v>1</v>
      </c>
      <c r="AX109"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-17.739726027397268</v>
      </c>
      <c r="AY109" s="10">
        <f>2*(Мособлдума_партии[[#This Row],[6. Всероссийская политическая партия "ЕДИНАЯ РОССИЯ"]]-(AB$203/100)*Мособлдума_партии[[#This Row],[Число действительных бюллетеней]])</f>
        <v>-25.900000000000034</v>
      </c>
      <c r="AZ109" s="10">
        <f>(Мособлдума_партии[[#This Row],[Вброс]]+Мособлдума_партии[[#This Row],[Перекладывание]])/2</f>
        <v>-21.819863013698651</v>
      </c>
    </row>
    <row r="110" spans="2:52" x14ac:dyDescent="0.4">
      <c r="B110" t="s">
        <v>74</v>
      </c>
      <c r="C110" t="s">
        <v>366</v>
      </c>
      <c r="D110" t="s">
        <v>227</v>
      </c>
      <c r="E110" t="s">
        <v>239</v>
      </c>
      <c r="F110" s="8">
        <f t="shared" ca="1" si="51"/>
        <v>1964</v>
      </c>
      <c r="G110" s="8" t="str">
        <f>Дума_партии[[#This Row],[Местоположение]]</f>
        <v>Одинцово</v>
      </c>
      <c r="H110" s="2" t="str">
        <f>LEFT(Мособлдума_партии[[#This Row],[tik]],4)&amp;"."&amp;IF(ISNUMBER(VALUE(RIGHT(Мособлдума_партии[[#This Row],[tik]]))),RIGHT(Мособлдума_партии[[#This Row],[tik]]),"")</f>
        <v>Один.2</v>
      </c>
      <c r="I110">
        <v>1250</v>
      </c>
      <c r="J110" s="8">
        <f>Мособлдума_партии[[#This Row],[Число избирателей, внесенных в список на момент окончания голосования]]</f>
        <v>1250</v>
      </c>
      <c r="K110">
        <v>1000</v>
      </c>
      <c r="L110" s="1"/>
      <c r="M110">
        <v>434</v>
      </c>
      <c r="N110">
        <v>54</v>
      </c>
      <c r="O110" s="3">
        <f t="shared" si="52"/>
        <v>39.04</v>
      </c>
      <c r="P110" s="3">
        <f t="shared" si="53"/>
        <v>4.32</v>
      </c>
      <c r="Q110">
        <v>512</v>
      </c>
      <c r="R110">
        <v>54</v>
      </c>
      <c r="S110">
        <v>428</v>
      </c>
      <c r="T110" s="1">
        <f t="shared" si="54"/>
        <v>482</v>
      </c>
      <c r="U110" s="3">
        <f t="shared" si="55"/>
        <v>11.203319502074688</v>
      </c>
      <c r="V110">
        <v>18</v>
      </c>
      <c r="W110" s="3">
        <f t="shared" si="56"/>
        <v>3.7344398340248963</v>
      </c>
      <c r="X110">
        <v>464</v>
      </c>
      <c r="Y110">
        <v>0</v>
      </c>
      <c r="Z110">
        <v>0</v>
      </c>
      <c r="AA110">
        <v>8</v>
      </c>
      <c r="AB110" s="3">
        <f t="shared" si="57"/>
        <v>1.6597510373443984</v>
      </c>
      <c r="AC110">
        <v>44</v>
      </c>
      <c r="AD110" s="3">
        <f t="shared" si="58"/>
        <v>9.1286307053941904</v>
      </c>
      <c r="AE110">
        <v>39</v>
      </c>
      <c r="AF110" s="3">
        <f t="shared" si="59"/>
        <v>8.0912863070539416</v>
      </c>
      <c r="AG110">
        <v>29</v>
      </c>
      <c r="AH110" s="3">
        <f t="shared" si="60"/>
        <v>6.0165975103734439</v>
      </c>
      <c r="AI110">
        <v>103</v>
      </c>
      <c r="AJ110" s="3">
        <f t="shared" si="61"/>
        <v>21.369294605809127</v>
      </c>
      <c r="AK110">
        <v>152</v>
      </c>
      <c r="AL110" s="3">
        <f t="shared" si="62"/>
        <v>31.53526970954357</v>
      </c>
      <c r="AM110">
        <v>12</v>
      </c>
      <c r="AN110" s="3">
        <f t="shared" si="63"/>
        <v>2.4896265560165975</v>
      </c>
      <c r="AO110">
        <v>10</v>
      </c>
      <c r="AP110" s="3">
        <f t="shared" si="64"/>
        <v>2.0746887966804981</v>
      </c>
      <c r="AQ110">
        <v>15</v>
      </c>
      <c r="AR110" s="3">
        <f t="shared" si="65"/>
        <v>3.1120331950207469</v>
      </c>
      <c r="AS110">
        <v>52</v>
      </c>
      <c r="AT110" s="3">
        <f t="shared" si="66"/>
        <v>10.78838174273859</v>
      </c>
      <c r="AU110" t="s">
        <v>370</v>
      </c>
      <c r="AV110" s="72">
        <f>Дума_партии[[#This Row],[КОИБ]]</f>
        <v>2017</v>
      </c>
      <c r="AW110" s="1" t="str">
        <f>IF(Дума_партии[[#This Row],[Наблюдателей]]=0,"",Дума_партии[[#This Row],[Наблюдателей]])</f>
        <v/>
      </c>
      <c r="AX110"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36.60273972602738</v>
      </c>
      <c r="AY110" s="10">
        <f>2*(Мособлдума_партии[[#This Row],[6. Всероссийская политическая партия "ЕДИНАЯ РОССИЯ"]]-(AB$203/100)*Мособлдума_партии[[#This Row],[Число действительных бюллетеней]])</f>
        <v>53.44</v>
      </c>
      <c r="AZ110" s="10">
        <f>(Мособлдума_партии[[#This Row],[Вброс]]+Мособлдума_партии[[#This Row],[Перекладывание]])/2</f>
        <v>45.021369863013689</v>
      </c>
    </row>
    <row r="111" spans="2:52" x14ac:dyDescent="0.4">
      <c r="B111" t="s">
        <v>74</v>
      </c>
      <c r="C111" t="s">
        <v>366</v>
      </c>
      <c r="D111" t="s">
        <v>227</v>
      </c>
      <c r="E111" t="s">
        <v>240</v>
      </c>
      <c r="F111" s="8">
        <f t="shared" ca="1" si="51"/>
        <v>1965</v>
      </c>
      <c r="G111" s="8" t="str">
        <f>Дума_партии[[#This Row],[Местоположение]]</f>
        <v>Одинцово</v>
      </c>
      <c r="H111" s="2" t="str">
        <f>LEFT(Мособлдума_партии[[#This Row],[tik]],4)&amp;"."&amp;IF(ISNUMBER(VALUE(RIGHT(Мособлдума_партии[[#This Row],[tik]]))),RIGHT(Мособлдума_партии[[#This Row],[tik]]),"")</f>
        <v>Один.2</v>
      </c>
      <c r="I111">
        <v>1265</v>
      </c>
      <c r="J111" s="8">
        <f>Мособлдума_партии[[#This Row],[Число избирателей, внесенных в список на момент окончания голосования]]</f>
        <v>1265</v>
      </c>
      <c r="K111">
        <v>1000</v>
      </c>
      <c r="L111" s="1"/>
      <c r="M111">
        <v>445</v>
      </c>
      <c r="N111">
        <v>5</v>
      </c>
      <c r="O111" s="3">
        <f t="shared" si="52"/>
        <v>35.573122529644266</v>
      </c>
      <c r="P111" s="3">
        <f t="shared" si="53"/>
        <v>0.39525691699604742</v>
      </c>
      <c r="Q111">
        <v>550</v>
      </c>
      <c r="R111">
        <v>5</v>
      </c>
      <c r="S111">
        <v>445</v>
      </c>
      <c r="T111" s="1">
        <f t="shared" si="54"/>
        <v>450</v>
      </c>
      <c r="U111" s="3">
        <f t="shared" si="55"/>
        <v>1.1111111111111112</v>
      </c>
      <c r="V111">
        <v>15</v>
      </c>
      <c r="W111" s="3">
        <f t="shared" si="56"/>
        <v>3.3333333333333335</v>
      </c>
      <c r="X111">
        <v>435</v>
      </c>
      <c r="Y111">
        <v>0</v>
      </c>
      <c r="Z111">
        <v>0</v>
      </c>
      <c r="AA111">
        <v>12</v>
      </c>
      <c r="AB111" s="3">
        <f t="shared" si="57"/>
        <v>2.6666666666666665</v>
      </c>
      <c r="AC111">
        <v>34</v>
      </c>
      <c r="AD111" s="3">
        <f t="shared" si="58"/>
        <v>7.5555555555555554</v>
      </c>
      <c r="AE111">
        <v>37</v>
      </c>
      <c r="AF111" s="3">
        <f t="shared" si="59"/>
        <v>8.2222222222222214</v>
      </c>
      <c r="AG111">
        <v>23</v>
      </c>
      <c r="AH111" s="3">
        <f t="shared" si="60"/>
        <v>5.1111111111111107</v>
      </c>
      <c r="AI111">
        <v>112</v>
      </c>
      <c r="AJ111" s="3">
        <f t="shared" si="61"/>
        <v>24.888888888888889</v>
      </c>
      <c r="AK111">
        <v>112</v>
      </c>
      <c r="AL111" s="3">
        <f t="shared" si="62"/>
        <v>24.888888888888889</v>
      </c>
      <c r="AM111">
        <v>15</v>
      </c>
      <c r="AN111" s="3">
        <f t="shared" si="63"/>
        <v>3.3333333333333335</v>
      </c>
      <c r="AO111">
        <v>11</v>
      </c>
      <c r="AP111" s="3">
        <f t="shared" si="64"/>
        <v>2.4444444444444446</v>
      </c>
      <c r="AQ111">
        <v>25</v>
      </c>
      <c r="AR111" s="3">
        <f t="shared" si="65"/>
        <v>5.5555555555555554</v>
      </c>
      <c r="AS111">
        <v>54</v>
      </c>
      <c r="AT111" s="3">
        <f t="shared" si="66"/>
        <v>12</v>
      </c>
      <c r="AU111" t="s">
        <v>370</v>
      </c>
      <c r="AV111" s="72">
        <f>Дума_партии[[#This Row],[КОИБ]]</f>
        <v>2017</v>
      </c>
      <c r="AW111" s="1" t="str">
        <f>IF(Дума_партии[[#This Row],[Наблюдателей]]=0,"",Дума_партии[[#This Row],[Наблюдателей]])</f>
        <v/>
      </c>
      <c r="AX111"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-7.4657534246575494</v>
      </c>
      <c r="AY111" s="10">
        <f>2*(Мособлдума_партии[[#This Row],[6. Всероссийская политическая партия "ЕДИНАЯ РОССИЯ"]]-(AB$203/100)*Мособлдума_партии[[#This Row],[Число действительных бюллетеней]])</f>
        <v>-10.900000000000006</v>
      </c>
      <c r="AZ111" s="10">
        <f>(Мособлдума_партии[[#This Row],[Вброс]]+Мособлдума_партии[[#This Row],[Перекладывание]])/2</f>
        <v>-9.1828767123287776</v>
      </c>
    </row>
    <row r="112" spans="2:52" x14ac:dyDescent="0.4">
      <c r="B112" t="s">
        <v>74</v>
      </c>
      <c r="C112" t="s">
        <v>366</v>
      </c>
      <c r="D112" t="s">
        <v>227</v>
      </c>
      <c r="E112" t="s">
        <v>241</v>
      </c>
      <c r="F112" s="8">
        <f t="shared" ca="1" si="51"/>
        <v>1966</v>
      </c>
      <c r="G112" s="8" t="str">
        <f>Дума_партии[[#This Row],[Местоположение]]</f>
        <v>Одинцово</v>
      </c>
      <c r="H112" s="2" t="str">
        <f>LEFT(Мособлдума_партии[[#This Row],[tik]],4)&amp;"."&amp;IF(ISNUMBER(VALUE(RIGHT(Мособлдума_партии[[#This Row],[tik]]))),RIGHT(Мособлдума_партии[[#This Row],[tik]]),"")</f>
        <v>Один.2</v>
      </c>
      <c r="I112">
        <v>1736</v>
      </c>
      <c r="J112" s="8">
        <f>Мособлдума_партии[[#This Row],[Число избирателей, внесенных в список на момент окончания голосования]]</f>
        <v>1736</v>
      </c>
      <c r="K112">
        <v>1500</v>
      </c>
      <c r="L112" s="1"/>
      <c r="M112">
        <v>732</v>
      </c>
      <c r="N112">
        <v>34</v>
      </c>
      <c r="O112" s="3">
        <f t="shared" si="52"/>
        <v>44.124423963133637</v>
      </c>
      <c r="P112" s="3">
        <f t="shared" si="53"/>
        <v>1.9585253456221199</v>
      </c>
      <c r="Q112">
        <v>734</v>
      </c>
      <c r="R112">
        <v>34</v>
      </c>
      <c r="S112">
        <v>705</v>
      </c>
      <c r="T112" s="1">
        <f t="shared" si="54"/>
        <v>739</v>
      </c>
      <c r="U112" s="3">
        <f t="shared" si="55"/>
        <v>4.6008119079837622</v>
      </c>
      <c r="V112">
        <v>20</v>
      </c>
      <c r="W112" s="3">
        <f t="shared" si="56"/>
        <v>2.7063599458728009</v>
      </c>
      <c r="X112">
        <v>719</v>
      </c>
      <c r="Y112">
        <v>0</v>
      </c>
      <c r="Z112">
        <v>0</v>
      </c>
      <c r="AA112">
        <v>13</v>
      </c>
      <c r="AB112" s="3">
        <f t="shared" si="57"/>
        <v>1.7591339648173208</v>
      </c>
      <c r="AC112">
        <v>70</v>
      </c>
      <c r="AD112" s="3">
        <f t="shared" si="58"/>
        <v>9.472259810554803</v>
      </c>
      <c r="AE112">
        <v>86</v>
      </c>
      <c r="AF112" s="3">
        <f t="shared" si="59"/>
        <v>11.637347767253045</v>
      </c>
      <c r="AG112">
        <v>30</v>
      </c>
      <c r="AH112" s="3">
        <f t="shared" si="60"/>
        <v>4.0595399188092021</v>
      </c>
      <c r="AI112">
        <v>160</v>
      </c>
      <c r="AJ112" s="3">
        <f t="shared" si="61"/>
        <v>21.650879566982407</v>
      </c>
      <c r="AK112">
        <v>242</v>
      </c>
      <c r="AL112" s="3">
        <f t="shared" si="62"/>
        <v>32.74695534506089</v>
      </c>
      <c r="AM112">
        <v>21</v>
      </c>
      <c r="AN112" s="3">
        <f t="shared" si="63"/>
        <v>2.8416779431664412</v>
      </c>
      <c r="AO112">
        <v>17</v>
      </c>
      <c r="AP112" s="3">
        <f t="shared" si="64"/>
        <v>2.3004059539918811</v>
      </c>
      <c r="AQ112">
        <v>24</v>
      </c>
      <c r="AR112" s="3">
        <f t="shared" si="65"/>
        <v>3.2476319350473615</v>
      </c>
      <c r="AS112">
        <v>56</v>
      </c>
      <c r="AT112" s="3">
        <f t="shared" si="66"/>
        <v>7.5778078484438431</v>
      </c>
      <c r="AU112" t="s">
        <v>370</v>
      </c>
      <c r="AV112" s="72">
        <f>Дума_партии[[#This Row],[КОИБ]]</f>
        <v>2017</v>
      </c>
      <c r="AW112" s="1" t="str">
        <f>IF(Дума_партии[[#This Row],[Наблюдателей]]=0,"",Дума_партии[[#This Row],[Наблюдателей]])</f>
        <v/>
      </c>
      <c r="AX112"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65.575342465753408</v>
      </c>
      <c r="AY112" s="10">
        <f>2*(Мособлдума_партии[[#This Row],[6. Всероссийская политическая партия "ЕДИНАЯ РОССИЯ"]]-(AB$203/100)*Мособлдума_партии[[#This Row],[Число действительных бюллетеней]])</f>
        <v>95.739999999999952</v>
      </c>
      <c r="AZ112" s="10">
        <f>(Мособлдума_партии[[#This Row],[Вброс]]+Мособлдума_партии[[#This Row],[Перекладывание]])/2</f>
        <v>80.65767123287668</v>
      </c>
    </row>
    <row r="113" spans="2:52" x14ac:dyDescent="0.4">
      <c r="B113" t="s">
        <v>74</v>
      </c>
      <c r="C113" t="s">
        <v>366</v>
      </c>
      <c r="D113" t="s">
        <v>227</v>
      </c>
      <c r="E113" t="s">
        <v>242</v>
      </c>
      <c r="F113" s="8">
        <f t="shared" ca="1" si="51"/>
        <v>1967</v>
      </c>
      <c r="G113" s="8" t="str">
        <f>Дума_партии[[#This Row],[Местоположение]]</f>
        <v>Одинцово</v>
      </c>
      <c r="H113" s="2" t="str">
        <f>LEFT(Мособлдума_партии[[#This Row],[tik]],4)&amp;"."&amp;IF(ISNUMBER(VALUE(RIGHT(Мособлдума_партии[[#This Row],[tik]]))),RIGHT(Мособлдума_партии[[#This Row],[tik]]),"")</f>
        <v>Один.2</v>
      </c>
      <c r="I113">
        <v>2586</v>
      </c>
      <c r="J113" s="8">
        <f>Мособлдума_партии[[#This Row],[Число избирателей, внесенных в список на момент окончания голосования]]</f>
        <v>2586</v>
      </c>
      <c r="K113">
        <v>2000</v>
      </c>
      <c r="L113" s="1"/>
      <c r="M113">
        <v>961</v>
      </c>
      <c r="N113">
        <v>46</v>
      </c>
      <c r="O113" s="3">
        <f t="shared" si="52"/>
        <v>38.940448569218873</v>
      </c>
      <c r="P113" s="3">
        <f t="shared" si="53"/>
        <v>1.7788089713843773</v>
      </c>
      <c r="Q113">
        <v>993</v>
      </c>
      <c r="R113">
        <v>46</v>
      </c>
      <c r="S113">
        <v>910</v>
      </c>
      <c r="T113" s="1">
        <f t="shared" si="54"/>
        <v>956</v>
      </c>
      <c r="U113" s="3">
        <f t="shared" si="55"/>
        <v>4.8117154811715483</v>
      </c>
      <c r="V113">
        <v>26</v>
      </c>
      <c r="W113" s="3">
        <f t="shared" si="56"/>
        <v>2.7196652719665271</v>
      </c>
      <c r="X113">
        <v>930</v>
      </c>
      <c r="Y113">
        <v>0</v>
      </c>
      <c r="Z113">
        <v>0</v>
      </c>
      <c r="AA113">
        <v>15</v>
      </c>
      <c r="AB113" s="3">
        <f t="shared" si="57"/>
        <v>1.5690376569037656</v>
      </c>
      <c r="AC113">
        <v>60</v>
      </c>
      <c r="AD113" s="3">
        <f t="shared" si="58"/>
        <v>6.2761506276150625</v>
      </c>
      <c r="AE113">
        <v>85</v>
      </c>
      <c r="AF113" s="3">
        <f t="shared" si="59"/>
        <v>8.8912133891213383</v>
      </c>
      <c r="AG113">
        <v>56</v>
      </c>
      <c r="AH113" s="3">
        <f t="shared" si="60"/>
        <v>5.8577405857740583</v>
      </c>
      <c r="AI113">
        <v>227</v>
      </c>
      <c r="AJ113" s="3">
        <f t="shared" si="61"/>
        <v>23.744769874476987</v>
      </c>
      <c r="AK113">
        <v>296</v>
      </c>
      <c r="AL113" s="3">
        <f t="shared" si="62"/>
        <v>30.96234309623431</v>
      </c>
      <c r="AM113">
        <v>28</v>
      </c>
      <c r="AN113" s="3">
        <f t="shared" si="63"/>
        <v>2.9288702928870292</v>
      </c>
      <c r="AO113">
        <v>36</v>
      </c>
      <c r="AP113" s="3">
        <f t="shared" si="64"/>
        <v>3.7656903765690375</v>
      </c>
      <c r="AQ113">
        <v>23</v>
      </c>
      <c r="AR113" s="3">
        <f t="shared" si="65"/>
        <v>2.4058577405857742</v>
      </c>
      <c r="AS113">
        <v>104</v>
      </c>
      <c r="AT113" s="3">
        <f t="shared" si="66"/>
        <v>10.878661087866108</v>
      </c>
      <c r="AU113" t="s">
        <v>370</v>
      </c>
      <c r="AV113" s="72">
        <f>Дума_партии[[#This Row],[КОИБ]]</f>
        <v>2017</v>
      </c>
      <c r="AW113" s="1" t="str">
        <f>IF(Дума_партии[[#This Row],[Наблюдателей]]=0,"",Дума_партии[[#This Row],[Наблюдателей]])</f>
        <v/>
      </c>
      <c r="AX113"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61.506849315068479</v>
      </c>
      <c r="AY113" s="10">
        <f>2*(Мособлдума_партии[[#This Row],[6. Всероссийская политическая партия "ЕДИНАЯ РОССИЯ"]]-(AB$203/100)*Мособлдума_партии[[#This Row],[Число действительных бюллетеней]])</f>
        <v>89.799999999999955</v>
      </c>
      <c r="AZ113" s="10">
        <f>(Мособлдума_партии[[#This Row],[Вброс]]+Мособлдума_партии[[#This Row],[Перекладывание]])/2</f>
        <v>75.653424657534217</v>
      </c>
    </row>
    <row r="114" spans="2:52" x14ac:dyDescent="0.4">
      <c r="B114" t="s">
        <v>74</v>
      </c>
      <c r="C114" t="s">
        <v>366</v>
      </c>
      <c r="D114" t="s">
        <v>227</v>
      </c>
      <c r="E114" t="s">
        <v>243</v>
      </c>
      <c r="F114" s="8">
        <f t="shared" ca="1" si="51"/>
        <v>1968</v>
      </c>
      <c r="G114" s="8" t="str">
        <f>Дума_партии[[#This Row],[Местоположение]]</f>
        <v>Одинцово</v>
      </c>
      <c r="H114" s="2" t="str">
        <f>LEFT(Мособлдума_партии[[#This Row],[tik]],4)&amp;"."&amp;IF(ISNUMBER(VALUE(RIGHT(Мособлдума_партии[[#This Row],[tik]]))),RIGHT(Мособлдума_партии[[#This Row],[tik]]),"")</f>
        <v>Один.2</v>
      </c>
      <c r="I114">
        <v>1243</v>
      </c>
      <c r="J114" s="8">
        <f>Мособлдума_партии[[#This Row],[Число избирателей, внесенных в список на момент окончания голосования]]</f>
        <v>1243</v>
      </c>
      <c r="K114">
        <v>1000</v>
      </c>
      <c r="L114" s="1"/>
      <c r="M114">
        <v>465</v>
      </c>
      <c r="N114">
        <v>16</v>
      </c>
      <c r="O114" s="3">
        <f t="shared" si="52"/>
        <v>38.696701528559935</v>
      </c>
      <c r="P114" s="3">
        <f t="shared" si="53"/>
        <v>1.2872083668543846</v>
      </c>
      <c r="Q114">
        <v>519</v>
      </c>
      <c r="R114">
        <v>16</v>
      </c>
      <c r="S114">
        <v>464</v>
      </c>
      <c r="T114" s="1">
        <f t="shared" si="54"/>
        <v>480</v>
      </c>
      <c r="U114" s="3">
        <f t="shared" si="55"/>
        <v>3.3333333333333335</v>
      </c>
      <c r="V114">
        <v>17</v>
      </c>
      <c r="W114" s="3">
        <f t="shared" si="56"/>
        <v>3.5416666666666665</v>
      </c>
      <c r="X114">
        <v>463</v>
      </c>
      <c r="Y114">
        <v>0</v>
      </c>
      <c r="Z114">
        <v>0</v>
      </c>
      <c r="AA114">
        <v>13</v>
      </c>
      <c r="AB114" s="3">
        <f t="shared" si="57"/>
        <v>2.7083333333333335</v>
      </c>
      <c r="AC114">
        <v>26</v>
      </c>
      <c r="AD114" s="3">
        <f t="shared" si="58"/>
        <v>5.416666666666667</v>
      </c>
      <c r="AE114">
        <v>45</v>
      </c>
      <c r="AF114" s="3">
        <f t="shared" si="59"/>
        <v>9.375</v>
      </c>
      <c r="AG114">
        <v>23</v>
      </c>
      <c r="AH114" s="3">
        <f t="shared" si="60"/>
        <v>4.791666666666667</v>
      </c>
      <c r="AI114">
        <v>132</v>
      </c>
      <c r="AJ114" s="3">
        <f t="shared" si="61"/>
        <v>27.5</v>
      </c>
      <c r="AK114">
        <v>108</v>
      </c>
      <c r="AL114" s="3">
        <f t="shared" si="62"/>
        <v>22.5</v>
      </c>
      <c r="AM114">
        <v>14</v>
      </c>
      <c r="AN114" s="3">
        <f t="shared" si="63"/>
        <v>2.9166666666666665</v>
      </c>
      <c r="AO114">
        <v>24</v>
      </c>
      <c r="AP114" s="3">
        <f t="shared" si="64"/>
        <v>5</v>
      </c>
      <c r="AQ114">
        <v>18</v>
      </c>
      <c r="AR114" s="3">
        <f t="shared" si="65"/>
        <v>3.75</v>
      </c>
      <c r="AS114">
        <v>60</v>
      </c>
      <c r="AT114" s="3">
        <f t="shared" si="66"/>
        <v>12.5</v>
      </c>
      <c r="AU114" t="s">
        <v>370</v>
      </c>
      <c r="AV114" s="72">
        <f>Дума_партии[[#This Row],[КОИБ]]</f>
        <v>2017</v>
      </c>
      <c r="AW114" s="1">
        <f>IF(Дума_партии[[#This Row],[Наблюдателей]]=0,"",Дума_партии[[#This Row],[Наблюдателей]])</f>
        <v>1</v>
      </c>
      <c r="AX114"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-23.301369863013718</v>
      </c>
      <c r="AY114" s="10">
        <f>2*(Мособлдума_партии[[#This Row],[6. Всероссийская политическая партия "ЕДИНАЯ РОССИЯ"]]-(AB$203/100)*Мособлдума_партии[[#This Row],[Число действительных бюллетеней]])</f>
        <v>-34.02000000000001</v>
      </c>
      <c r="AZ114" s="10">
        <f>(Мособлдума_партии[[#This Row],[Вброс]]+Мособлдума_партии[[#This Row],[Перекладывание]])/2</f>
        <v>-28.660684931506864</v>
      </c>
    </row>
    <row r="115" spans="2:52" x14ac:dyDescent="0.4">
      <c r="B115" t="s">
        <v>74</v>
      </c>
      <c r="C115" t="s">
        <v>366</v>
      </c>
      <c r="D115" t="s">
        <v>227</v>
      </c>
      <c r="E115" t="s">
        <v>244</v>
      </c>
      <c r="F115" s="8">
        <f t="shared" ca="1" si="51"/>
        <v>1969</v>
      </c>
      <c r="G115" s="8" t="str">
        <f>Дума_партии[[#This Row],[Местоположение]]</f>
        <v>Одинцово</v>
      </c>
      <c r="H115" s="2" t="str">
        <f>LEFT(Мособлдума_партии[[#This Row],[tik]],4)&amp;"."&amp;IF(ISNUMBER(VALUE(RIGHT(Мособлдума_партии[[#This Row],[tik]]))),RIGHT(Мособлдума_партии[[#This Row],[tik]]),"")</f>
        <v>Один.2</v>
      </c>
      <c r="I115">
        <v>1451</v>
      </c>
      <c r="J115" s="8">
        <f>Мособлдума_партии[[#This Row],[Число избирателей, внесенных в список на момент окончания голосования]]</f>
        <v>1451</v>
      </c>
      <c r="K115">
        <v>1200</v>
      </c>
      <c r="L115" s="1"/>
      <c r="M115">
        <v>523</v>
      </c>
      <c r="N115">
        <v>60</v>
      </c>
      <c r="O115" s="3">
        <f t="shared" si="52"/>
        <v>40.17918676774638</v>
      </c>
      <c r="P115" s="3">
        <f t="shared" si="53"/>
        <v>4.1350792556857341</v>
      </c>
      <c r="Q115">
        <v>617</v>
      </c>
      <c r="R115">
        <v>60</v>
      </c>
      <c r="S115">
        <v>523</v>
      </c>
      <c r="T115" s="1">
        <f t="shared" si="54"/>
        <v>583</v>
      </c>
      <c r="U115" s="3">
        <f t="shared" si="55"/>
        <v>10.291595197255575</v>
      </c>
      <c r="V115">
        <v>9</v>
      </c>
      <c r="W115" s="3">
        <f t="shared" si="56"/>
        <v>1.5437392795883362</v>
      </c>
      <c r="X115">
        <v>574</v>
      </c>
      <c r="Y115">
        <v>0</v>
      </c>
      <c r="Z115">
        <v>0</v>
      </c>
      <c r="AA115">
        <v>6</v>
      </c>
      <c r="AB115" s="3">
        <f t="shared" si="57"/>
        <v>1.0291595197255574</v>
      </c>
      <c r="AC115">
        <v>34</v>
      </c>
      <c r="AD115" s="3">
        <f t="shared" si="58"/>
        <v>5.8319039451114927</v>
      </c>
      <c r="AE115">
        <v>40</v>
      </c>
      <c r="AF115" s="3">
        <f t="shared" si="59"/>
        <v>6.8610634648370494</v>
      </c>
      <c r="AG115">
        <v>16</v>
      </c>
      <c r="AH115" s="3">
        <f t="shared" si="60"/>
        <v>2.7444253859348198</v>
      </c>
      <c r="AI115">
        <v>96</v>
      </c>
      <c r="AJ115" s="3">
        <f t="shared" si="61"/>
        <v>16.466552315608919</v>
      </c>
      <c r="AK115">
        <v>290</v>
      </c>
      <c r="AL115" s="3">
        <f t="shared" si="62"/>
        <v>49.742710120068608</v>
      </c>
      <c r="AM115">
        <v>11</v>
      </c>
      <c r="AN115" s="3">
        <f t="shared" si="63"/>
        <v>1.8867924528301887</v>
      </c>
      <c r="AO115">
        <v>13</v>
      </c>
      <c r="AP115" s="3">
        <f t="shared" si="64"/>
        <v>2.229845626072041</v>
      </c>
      <c r="AQ115">
        <v>15</v>
      </c>
      <c r="AR115" s="3">
        <f t="shared" si="65"/>
        <v>2.5728987993138936</v>
      </c>
      <c r="AS115">
        <v>53</v>
      </c>
      <c r="AT115" s="3">
        <f t="shared" si="66"/>
        <v>9.0909090909090917</v>
      </c>
      <c r="AU115" t="s">
        <v>370</v>
      </c>
      <c r="AV115" s="72">
        <f>Дума_партии[[#This Row],[КОИБ]]</f>
        <v>2017</v>
      </c>
      <c r="AW115" s="1" t="str">
        <f>IF(Дума_партии[[#This Row],[Наблюдателей]]=0,"",Дума_партии[[#This Row],[Наблюдателей]])</f>
        <v/>
      </c>
      <c r="AX115"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184.95890410958901</v>
      </c>
      <c r="AY115" s="10">
        <f>2*(Мособлдума_партии[[#This Row],[6. Всероссийская политическая партия "ЕДИНАЯ РОССИЯ"]]-(AB$203/100)*Мособлдума_партии[[#This Row],[Число действительных бюллетеней]])</f>
        <v>270.03999999999996</v>
      </c>
      <c r="AZ115" s="10">
        <f>(Мособлдума_партии[[#This Row],[Вброс]]+Мособлдума_партии[[#This Row],[Перекладывание]])/2</f>
        <v>227.49945205479449</v>
      </c>
    </row>
    <row r="116" spans="2:52" x14ac:dyDescent="0.4">
      <c r="B116" t="s">
        <v>74</v>
      </c>
      <c r="C116" t="s">
        <v>366</v>
      </c>
      <c r="D116" t="s">
        <v>227</v>
      </c>
      <c r="E116" t="s">
        <v>245</v>
      </c>
      <c r="F116" s="8">
        <f t="shared" ca="1" si="51"/>
        <v>1970</v>
      </c>
      <c r="G116" s="8" t="str">
        <f>Дума_партии[[#This Row],[Местоположение]]</f>
        <v>Одинцово</v>
      </c>
      <c r="H116" s="2" t="str">
        <f>LEFT(Мособлдума_партии[[#This Row],[tik]],4)&amp;"."&amp;IF(ISNUMBER(VALUE(RIGHT(Мособлдума_партии[[#This Row],[tik]]))),RIGHT(Мособлдума_партии[[#This Row],[tik]]),"")</f>
        <v>Один.2</v>
      </c>
      <c r="I116">
        <v>1179</v>
      </c>
      <c r="J116" s="8">
        <f>Мособлдума_партии[[#This Row],[Число избирателей, внесенных в список на момент окончания голосования]]</f>
        <v>1179</v>
      </c>
      <c r="K116">
        <v>1000</v>
      </c>
      <c r="L116" s="1"/>
      <c r="M116">
        <v>382</v>
      </c>
      <c r="N116">
        <v>51</v>
      </c>
      <c r="O116" s="3">
        <f t="shared" si="52"/>
        <v>36.726039016115351</v>
      </c>
      <c r="P116" s="3">
        <f t="shared" si="53"/>
        <v>4.325699745547074</v>
      </c>
      <c r="Q116">
        <v>567</v>
      </c>
      <c r="R116">
        <v>51</v>
      </c>
      <c r="S116">
        <v>380</v>
      </c>
      <c r="T116" s="1">
        <f t="shared" si="54"/>
        <v>431</v>
      </c>
      <c r="U116" s="3">
        <f t="shared" si="55"/>
        <v>11.832946635730858</v>
      </c>
      <c r="V116">
        <v>23</v>
      </c>
      <c r="W116" s="3">
        <f t="shared" si="56"/>
        <v>5.3364269141531322</v>
      </c>
      <c r="X116">
        <v>408</v>
      </c>
      <c r="Y116">
        <v>0</v>
      </c>
      <c r="Z116">
        <v>0</v>
      </c>
      <c r="AA116">
        <v>14</v>
      </c>
      <c r="AB116" s="3">
        <f t="shared" si="57"/>
        <v>3.2482598607888633</v>
      </c>
      <c r="AC116">
        <v>32</v>
      </c>
      <c r="AD116" s="3">
        <f t="shared" si="58"/>
        <v>7.4245939675174011</v>
      </c>
      <c r="AE116">
        <v>24</v>
      </c>
      <c r="AF116" s="3">
        <f t="shared" si="59"/>
        <v>5.5684454756380513</v>
      </c>
      <c r="AG116">
        <v>26</v>
      </c>
      <c r="AH116" s="3">
        <f t="shared" si="60"/>
        <v>6.0324825986078885</v>
      </c>
      <c r="AI116">
        <v>87</v>
      </c>
      <c r="AJ116" s="3">
        <f t="shared" si="61"/>
        <v>20.185614849187935</v>
      </c>
      <c r="AK116">
        <v>144</v>
      </c>
      <c r="AL116" s="3">
        <f t="shared" si="62"/>
        <v>33.410672853828309</v>
      </c>
      <c r="AM116">
        <v>14</v>
      </c>
      <c r="AN116" s="3">
        <f t="shared" si="63"/>
        <v>3.2482598607888633</v>
      </c>
      <c r="AO116">
        <v>15</v>
      </c>
      <c r="AP116" s="3">
        <f t="shared" si="64"/>
        <v>3.4802784222737819</v>
      </c>
      <c r="AQ116">
        <v>14</v>
      </c>
      <c r="AR116" s="3">
        <f t="shared" si="65"/>
        <v>3.2482598607888633</v>
      </c>
      <c r="AS116">
        <v>38</v>
      </c>
      <c r="AT116" s="3">
        <f t="shared" si="66"/>
        <v>8.8167053364269137</v>
      </c>
      <c r="AU116" t="s">
        <v>370</v>
      </c>
      <c r="AV116" s="72">
        <f>Дума_партии[[#This Row],[КОИБ]]</f>
        <v>2017</v>
      </c>
      <c r="AW116" s="1" t="str">
        <f>IF(Дума_партии[[#This Row],[Наблюдателей]]=0,"",Дума_партии[[#This Row],[Наблюдателей]])</f>
        <v/>
      </c>
      <c r="AX116"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46.356164383561634</v>
      </c>
      <c r="AY116" s="10">
        <f>2*(Мособлдума_партии[[#This Row],[6. Всероссийская политическая партия "ЕДИНАЯ РОССИЯ"]]-(AB$203/100)*Мособлдума_партии[[#This Row],[Число действительных бюллетеней]])</f>
        <v>67.679999999999978</v>
      </c>
      <c r="AZ116" s="10">
        <f>(Мособлдума_партии[[#This Row],[Вброс]]+Мособлдума_партии[[#This Row],[Перекладывание]])/2</f>
        <v>57.018082191780806</v>
      </c>
    </row>
    <row r="117" spans="2:52" x14ac:dyDescent="0.4">
      <c r="B117" t="s">
        <v>74</v>
      </c>
      <c r="C117" t="s">
        <v>366</v>
      </c>
      <c r="D117" t="s">
        <v>227</v>
      </c>
      <c r="E117" t="s">
        <v>246</v>
      </c>
      <c r="F117" s="8">
        <f t="shared" ca="1" si="51"/>
        <v>1971</v>
      </c>
      <c r="G117" s="8" t="str">
        <f>Дума_партии[[#This Row],[Местоположение]]</f>
        <v>Одинцово</v>
      </c>
      <c r="H117" s="2" t="str">
        <f>LEFT(Мособлдума_партии[[#This Row],[tik]],4)&amp;"."&amp;IF(ISNUMBER(VALUE(RIGHT(Мособлдума_партии[[#This Row],[tik]]))),RIGHT(Мособлдума_партии[[#This Row],[tik]]),"")</f>
        <v>Один.2</v>
      </c>
      <c r="I117">
        <v>2285</v>
      </c>
      <c r="J117" s="8">
        <f>Мособлдума_партии[[#This Row],[Число избирателей, внесенных в список на момент окончания голосования]]</f>
        <v>2285</v>
      </c>
      <c r="K117">
        <v>2000</v>
      </c>
      <c r="L117" s="1"/>
      <c r="M117">
        <v>766</v>
      </c>
      <c r="N117">
        <v>17</v>
      </c>
      <c r="O117" s="3">
        <f t="shared" si="52"/>
        <v>34.266958424507656</v>
      </c>
      <c r="P117" s="3">
        <f t="shared" si="53"/>
        <v>0.74398249452954046</v>
      </c>
      <c r="Q117">
        <v>1217</v>
      </c>
      <c r="R117">
        <v>17</v>
      </c>
      <c r="S117">
        <v>763</v>
      </c>
      <c r="T117" s="1">
        <f t="shared" si="54"/>
        <v>780</v>
      </c>
      <c r="U117" s="3">
        <f t="shared" si="55"/>
        <v>2.1794871794871793</v>
      </c>
      <c r="V117">
        <v>24</v>
      </c>
      <c r="W117" s="3">
        <f t="shared" si="56"/>
        <v>3.0769230769230771</v>
      </c>
      <c r="X117">
        <v>756</v>
      </c>
      <c r="Y117">
        <v>0</v>
      </c>
      <c r="Z117">
        <v>0</v>
      </c>
      <c r="AA117">
        <v>17</v>
      </c>
      <c r="AB117" s="3">
        <f t="shared" si="57"/>
        <v>2.1794871794871793</v>
      </c>
      <c r="AC117">
        <v>69</v>
      </c>
      <c r="AD117" s="3">
        <f t="shared" si="58"/>
        <v>8.8461538461538467</v>
      </c>
      <c r="AE117">
        <v>73</v>
      </c>
      <c r="AF117" s="3">
        <f t="shared" si="59"/>
        <v>9.3589743589743595</v>
      </c>
      <c r="AG117">
        <v>54</v>
      </c>
      <c r="AH117" s="3">
        <f t="shared" si="60"/>
        <v>6.9230769230769234</v>
      </c>
      <c r="AI117">
        <v>210</v>
      </c>
      <c r="AJ117" s="3">
        <f t="shared" si="61"/>
        <v>26.923076923076923</v>
      </c>
      <c r="AK117">
        <v>194</v>
      </c>
      <c r="AL117" s="3">
        <f t="shared" si="62"/>
        <v>24.871794871794872</v>
      </c>
      <c r="AM117">
        <v>18</v>
      </c>
      <c r="AN117" s="3">
        <f t="shared" si="63"/>
        <v>2.3076923076923075</v>
      </c>
      <c r="AO117">
        <v>22</v>
      </c>
      <c r="AP117" s="3">
        <f t="shared" si="64"/>
        <v>2.8205128205128207</v>
      </c>
      <c r="AQ117">
        <v>23</v>
      </c>
      <c r="AR117" s="3">
        <f t="shared" si="65"/>
        <v>2.9487179487179489</v>
      </c>
      <c r="AS117">
        <v>76</v>
      </c>
      <c r="AT117" s="3">
        <f t="shared" si="66"/>
        <v>9.7435897435897427</v>
      </c>
      <c r="AU117" t="s">
        <v>370</v>
      </c>
      <c r="AV117" s="72">
        <f>Дума_партии[[#This Row],[КОИБ]]</f>
        <v>2017</v>
      </c>
      <c r="AW117" s="1" t="str">
        <f>IF(Дума_партии[[#This Row],[Наблюдателей]]=0,"",Дума_партии[[#This Row],[Наблюдателей]])</f>
        <v/>
      </c>
      <c r="AX117"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-13.863013698630169</v>
      </c>
      <c r="AY117" s="10">
        <f>2*(Мособлдума_партии[[#This Row],[6. Всероссийская политическая партия "ЕДИНАЯ РОССИЯ"]]-(AB$203/100)*Мособлдума_партии[[#This Row],[Число действительных бюллетеней]])</f>
        <v>-20.240000000000009</v>
      </c>
      <c r="AZ117" s="10">
        <f>(Мособлдума_партии[[#This Row],[Вброс]]+Мособлдума_партии[[#This Row],[Перекладывание]])/2</f>
        <v>-17.051506849315089</v>
      </c>
    </row>
    <row r="118" spans="2:52" x14ac:dyDescent="0.4">
      <c r="B118" t="s">
        <v>74</v>
      </c>
      <c r="C118" t="s">
        <v>366</v>
      </c>
      <c r="D118" t="s">
        <v>227</v>
      </c>
      <c r="E118" t="s">
        <v>247</v>
      </c>
      <c r="F118" s="8">
        <f t="shared" ca="1" si="51"/>
        <v>1972</v>
      </c>
      <c r="G118" s="8" t="str">
        <f>Дума_партии[[#This Row],[Местоположение]]</f>
        <v>Одинцово</v>
      </c>
      <c r="H118" s="2" t="str">
        <f>LEFT(Мособлдума_партии[[#This Row],[tik]],4)&amp;"."&amp;IF(ISNUMBER(VALUE(RIGHT(Мособлдума_партии[[#This Row],[tik]]))),RIGHT(Мособлдума_партии[[#This Row],[tik]]),"")</f>
        <v>Один.2</v>
      </c>
      <c r="I118">
        <v>1678</v>
      </c>
      <c r="J118" s="8">
        <f>Мособлдума_партии[[#This Row],[Число избирателей, внесенных в список на момент окончания голосования]]</f>
        <v>1678</v>
      </c>
      <c r="K118">
        <v>1100</v>
      </c>
      <c r="L118" s="1"/>
      <c r="M118">
        <v>739</v>
      </c>
      <c r="N118">
        <v>10</v>
      </c>
      <c r="O118" s="3">
        <f t="shared" si="52"/>
        <v>44.636471990464841</v>
      </c>
      <c r="P118" s="3">
        <f t="shared" si="53"/>
        <v>0.59594755661501786</v>
      </c>
      <c r="Q118">
        <v>351</v>
      </c>
      <c r="R118">
        <v>10</v>
      </c>
      <c r="S118">
        <v>736</v>
      </c>
      <c r="T118" s="1">
        <f t="shared" si="54"/>
        <v>746</v>
      </c>
      <c r="U118" s="3">
        <f t="shared" si="55"/>
        <v>1.3404825737265416</v>
      </c>
      <c r="V118">
        <v>29</v>
      </c>
      <c r="W118" s="3">
        <f t="shared" si="56"/>
        <v>3.8873994638069704</v>
      </c>
      <c r="X118">
        <v>717</v>
      </c>
      <c r="Y118">
        <v>0</v>
      </c>
      <c r="Z118">
        <v>0</v>
      </c>
      <c r="AA118">
        <v>11</v>
      </c>
      <c r="AB118" s="3">
        <f t="shared" si="57"/>
        <v>1.4745308310991958</v>
      </c>
      <c r="AC118">
        <v>58</v>
      </c>
      <c r="AD118" s="3">
        <f t="shared" si="58"/>
        <v>7.7747989276139409</v>
      </c>
      <c r="AE118">
        <v>48</v>
      </c>
      <c r="AF118" s="3">
        <f t="shared" si="59"/>
        <v>6.4343163538873993</v>
      </c>
      <c r="AG118">
        <v>17</v>
      </c>
      <c r="AH118" s="3">
        <f t="shared" si="60"/>
        <v>2.2788203753351208</v>
      </c>
      <c r="AI118">
        <v>138</v>
      </c>
      <c r="AJ118" s="3">
        <f t="shared" si="61"/>
        <v>18.498659517426272</v>
      </c>
      <c r="AK118">
        <v>317</v>
      </c>
      <c r="AL118" s="3">
        <f t="shared" si="62"/>
        <v>42.493297587131366</v>
      </c>
      <c r="AM118">
        <v>17</v>
      </c>
      <c r="AN118" s="3">
        <f t="shared" si="63"/>
        <v>2.2788203753351208</v>
      </c>
      <c r="AO118">
        <v>19</v>
      </c>
      <c r="AP118" s="3">
        <f t="shared" si="64"/>
        <v>2.5469168900804289</v>
      </c>
      <c r="AQ118">
        <v>25</v>
      </c>
      <c r="AR118" s="3">
        <f t="shared" si="65"/>
        <v>3.3512064343163539</v>
      </c>
      <c r="AS118">
        <v>67</v>
      </c>
      <c r="AT118" s="3">
        <f t="shared" si="66"/>
        <v>8.9812332439678286</v>
      </c>
      <c r="AU118" t="s">
        <v>370</v>
      </c>
      <c r="AV118" s="72">
        <f>Дума_партии[[#This Row],[КОИБ]]</f>
        <v>2017</v>
      </c>
      <c r="AW118" s="1" t="str">
        <f>IF(Дума_партии[[#This Row],[Наблюдателей]]=0,"",Дума_партии[[#This Row],[Наблюдателей]])</f>
        <v/>
      </c>
      <c r="AX118"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169.05479452054794</v>
      </c>
      <c r="AY118" s="10">
        <f>2*(Мособлдума_партии[[#This Row],[6. Всероссийская политическая партия "ЕДИНАЯ РОССИЯ"]]-(AB$203/100)*Мособлдума_партии[[#This Row],[Число действительных бюллетеней]])</f>
        <v>246.82</v>
      </c>
      <c r="AZ118" s="10">
        <f>(Мособлдума_партии[[#This Row],[Вброс]]+Мособлдума_партии[[#This Row],[Перекладывание]])/2</f>
        <v>207.93739726027397</v>
      </c>
    </row>
    <row r="119" spans="2:52" x14ac:dyDescent="0.4">
      <c r="B119" t="s">
        <v>74</v>
      </c>
      <c r="C119" t="s">
        <v>366</v>
      </c>
      <c r="D119" t="s">
        <v>227</v>
      </c>
      <c r="E119" t="s">
        <v>248</v>
      </c>
      <c r="F119" s="8">
        <f t="shared" ca="1" si="51"/>
        <v>1974</v>
      </c>
      <c r="G119" s="8" t="str">
        <f>Дума_партии[[#This Row],[Местоположение]]</f>
        <v>Одинцово</v>
      </c>
      <c r="H119" s="2" t="str">
        <f>LEFT(Мособлдума_партии[[#This Row],[tik]],4)&amp;"."&amp;IF(ISNUMBER(VALUE(RIGHT(Мособлдума_партии[[#This Row],[tik]]))),RIGHT(Мособлдума_партии[[#This Row],[tik]]),"")</f>
        <v>Один.2</v>
      </c>
      <c r="I119">
        <v>2025</v>
      </c>
      <c r="J119" s="8">
        <f>Мособлдума_партии[[#This Row],[Число избирателей, внесенных в список на момент окончания голосования]]</f>
        <v>2025</v>
      </c>
      <c r="K119">
        <v>1800</v>
      </c>
      <c r="L119" s="1"/>
      <c r="M119">
        <v>685</v>
      </c>
      <c r="N119">
        <v>7</v>
      </c>
      <c r="O119" s="3">
        <f t="shared" si="52"/>
        <v>34.172839506172842</v>
      </c>
      <c r="P119" s="3">
        <f t="shared" si="53"/>
        <v>0.34567901234567899</v>
      </c>
      <c r="Q119">
        <v>1108</v>
      </c>
      <c r="R119">
        <v>7</v>
      </c>
      <c r="S119">
        <v>685</v>
      </c>
      <c r="T119" s="1">
        <f t="shared" si="54"/>
        <v>692</v>
      </c>
      <c r="U119" s="3">
        <f t="shared" si="55"/>
        <v>1.0115606936416186</v>
      </c>
      <c r="V119">
        <v>23</v>
      </c>
      <c r="W119" s="3">
        <f t="shared" si="56"/>
        <v>3.3236994219653178</v>
      </c>
      <c r="X119">
        <v>669</v>
      </c>
      <c r="Y119">
        <v>0</v>
      </c>
      <c r="Z119">
        <v>0</v>
      </c>
      <c r="AA119">
        <v>12</v>
      </c>
      <c r="AB119" s="3">
        <f t="shared" si="57"/>
        <v>1.7341040462427746</v>
      </c>
      <c r="AC119">
        <v>56</v>
      </c>
      <c r="AD119" s="3">
        <f t="shared" si="58"/>
        <v>8.0924855491329488</v>
      </c>
      <c r="AE119">
        <v>51</v>
      </c>
      <c r="AF119" s="3">
        <f t="shared" si="59"/>
        <v>7.3699421965317917</v>
      </c>
      <c r="AG119">
        <v>29</v>
      </c>
      <c r="AH119" s="3">
        <f t="shared" si="60"/>
        <v>4.1907514450867049</v>
      </c>
      <c r="AI119">
        <v>191</v>
      </c>
      <c r="AJ119" s="3">
        <f t="shared" si="61"/>
        <v>27.601156069364162</v>
      </c>
      <c r="AK119">
        <v>180</v>
      </c>
      <c r="AL119" s="3">
        <f t="shared" si="62"/>
        <v>26.01156069364162</v>
      </c>
      <c r="AM119">
        <v>22</v>
      </c>
      <c r="AN119" s="3">
        <f t="shared" si="63"/>
        <v>3.1791907514450868</v>
      </c>
      <c r="AO119">
        <v>23</v>
      </c>
      <c r="AP119" s="3">
        <f t="shared" si="64"/>
        <v>3.3236994219653178</v>
      </c>
      <c r="AQ119">
        <v>28</v>
      </c>
      <c r="AR119" s="3">
        <f t="shared" si="65"/>
        <v>4.0462427745664744</v>
      </c>
      <c r="AS119">
        <v>77</v>
      </c>
      <c r="AT119" s="3">
        <f t="shared" si="66"/>
        <v>11.127167630057803</v>
      </c>
      <c r="AU119" t="s">
        <v>370</v>
      </c>
      <c r="AV119" s="72">
        <f>Дума_партии[[#This Row],[КОИБ]]</f>
        <v>2017</v>
      </c>
      <c r="AW119" s="1">
        <f>IF(Дума_партии[[#This Row],[Наблюдателей]]=0,"",Дума_партии[[#This Row],[Наблюдателей]])</f>
        <v>1</v>
      </c>
      <c r="AX119"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-0.86301369863014088</v>
      </c>
      <c r="AY119" s="10">
        <f>2*(Мособлдума_партии[[#This Row],[6. Всероссийская политическая партия "ЕДИНАЯ РОССИЯ"]]-(AB$203/100)*Мособлдума_партии[[#This Row],[Число действительных бюллетеней]])</f>
        <v>-1.2600000000000477</v>
      </c>
      <c r="AZ119" s="10">
        <f>(Мособлдума_партии[[#This Row],[Вброс]]+Мособлдума_партии[[#This Row],[Перекладывание]])/2</f>
        <v>-1.0615068493150943</v>
      </c>
    </row>
    <row r="120" spans="2:52" s="18" customFormat="1" x14ac:dyDescent="0.4">
      <c r="B120" s="18" t="s">
        <v>74</v>
      </c>
      <c r="C120" s="18" t="s">
        <v>366</v>
      </c>
      <c r="D120" s="18" t="s">
        <v>227</v>
      </c>
      <c r="E120" s="18" t="s">
        <v>354</v>
      </c>
      <c r="F120" s="19">
        <f ca="1">SUMPRODUCT(MID(0&amp;E120, LARGE(INDEX(ISNUMBER(--MID(E120, ROW(INDIRECT("1:"&amp;LEN(E120))), 1)) * ROW(INDIRECT("1:"&amp;LEN(E120))), 0), ROW(INDIRECT("1:"&amp;LEN(E120))))+1, 1) * 10^ROW(INDIRECT("1:"&amp;LEN(E120)))/10)</f>
        <v>1976</v>
      </c>
      <c r="G120" s="19" t="str">
        <f>Дума_партии[[#This Row],[Местоположение]]</f>
        <v>Одинцово</v>
      </c>
      <c r="H120" s="32" t="str">
        <f>LEFT(Мособлдума_партии[[#This Row],[tik]],4)&amp;"."&amp;IF(ISNUMBER(VALUE(RIGHT(Мособлдума_партии[[#This Row],[tik]]))),RIGHT(Мособлдума_партии[[#This Row],[tik]]),"")</f>
        <v>Один.2</v>
      </c>
      <c r="J120" s="19">
        <f>Мособлдума_партии[[#This Row],[Число избирателей, внесенных в список на момент окончания голосования]]</f>
        <v>0</v>
      </c>
      <c r="O120" s="20" t="e">
        <f>100*(M120+N120)/I120</f>
        <v>#DIV/0!</v>
      </c>
      <c r="P120" s="20" t="e">
        <f>100*N120/I120</f>
        <v>#DIV/0!</v>
      </c>
      <c r="T120" s="18">
        <f>R120+S120</f>
        <v>0</v>
      </c>
      <c r="U120" s="20" t="e">
        <f>100*R120/T120</f>
        <v>#DIV/0!</v>
      </c>
      <c r="W120" s="20" t="e">
        <f>100*V120/T120</f>
        <v>#DIV/0!</v>
      </c>
      <c r="AB120" s="20" t="e">
        <f>100*AA120/$T120</f>
        <v>#DIV/0!</v>
      </c>
      <c r="AD120" s="20" t="e">
        <f>100*AC120/$T120</f>
        <v>#DIV/0!</v>
      </c>
      <c r="AF120" s="20" t="e">
        <f>100*AE120/$T120</f>
        <v>#DIV/0!</v>
      </c>
      <c r="AH120" s="20" t="e">
        <f>100*AG120/$T120</f>
        <v>#DIV/0!</v>
      </c>
      <c r="AJ120" s="20" t="e">
        <f>100*AI120/$T120</f>
        <v>#DIV/0!</v>
      </c>
      <c r="AL120" s="20" t="e">
        <f>100*AK120/$T120</f>
        <v>#DIV/0!</v>
      </c>
      <c r="AN120" s="20" t="e">
        <f>100*AM120/$T120</f>
        <v>#DIV/0!</v>
      </c>
      <c r="AP120" s="20" t="e">
        <f>100*AO120/$T120</f>
        <v>#DIV/0!</v>
      </c>
      <c r="AR120" s="20" t="e">
        <f>100*AQ120/$T120</f>
        <v>#DIV/0!</v>
      </c>
      <c r="AT120" s="20" t="e">
        <f>100*AS120/$T120</f>
        <v>#DIV/0!</v>
      </c>
      <c r="AV120" s="76" t="str">
        <f>Дума_партии[[#This Row],[КОИБ]]</f>
        <v>N</v>
      </c>
      <c r="AW120" s="18">
        <f>IF(Дума_партии[[#This Row],[Наблюдателей]]=0,"",Дума_партии[[#This Row],[Наблюдателей]])</f>
        <v>2</v>
      </c>
      <c r="AX120" s="21">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0</v>
      </c>
      <c r="AY120" s="21">
        <f>2*(Мособлдума_партии[[#This Row],[6. Всероссийская политическая партия "ЕДИНАЯ РОССИЯ"]]-(AB$203/100)*Мособлдума_партии[[#This Row],[Число действительных бюллетеней]])</f>
        <v>0</v>
      </c>
      <c r="AZ120" s="21">
        <f>(Мособлдума_партии[[#This Row],[Вброс]]+Мособлдума_партии[[#This Row],[Перекладывание]])/2</f>
        <v>0</v>
      </c>
    </row>
    <row r="121" spans="2:52" x14ac:dyDescent="0.4">
      <c r="B121" t="s">
        <v>74</v>
      </c>
      <c r="C121" t="s">
        <v>366</v>
      </c>
      <c r="D121" t="s">
        <v>227</v>
      </c>
      <c r="E121" t="s">
        <v>249</v>
      </c>
      <c r="F121" s="8">
        <f t="shared" ca="1" si="51"/>
        <v>1978</v>
      </c>
      <c r="G121" s="8" t="str">
        <f>Дума_партии[[#This Row],[Местоположение]]</f>
        <v>Одинцово</v>
      </c>
      <c r="H121" s="2" t="str">
        <f>LEFT(Мособлдума_партии[[#This Row],[tik]],4)&amp;"."&amp;IF(ISNUMBER(VALUE(RIGHT(Мособлдума_партии[[#This Row],[tik]]))),RIGHT(Мособлдума_партии[[#This Row],[tik]]),"")</f>
        <v>Один.2</v>
      </c>
      <c r="I121">
        <v>2430</v>
      </c>
      <c r="J121" s="8">
        <f>Мособлдума_партии[[#This Row],[Число избирателей, внесенных в список на момент окончания голосования]]</f>
        <v>2430</v>
      </c>
      <c r="K121">
        <v>2000</v>
      </c>
      <c r="L121" s="1"/>
      <c r="M121">
        <v>806</v>
      </c>
      <c r="N121">
        <v>118</v>
      </c>
      <c r="O121" s="3">
        <f t="shared" si="52"/>
        <v>38.02469135802469</v>
      </c>
      <c r="P121" s="3">
        <f t="shared" si="53"/>
        <v>4.8559670781893001</v>
      </c>
      <c r="Q121">
        <v>1076</v>
      </c>
      <c r="R121">
        <v>117</v>
      </c>
      <c r="S121">
        <v>806</v>
      </c>
      <c r="T121" s="1">
        <f t="shared" si="54"/>
        <v>923</v>
      </c>
      <c r="U121" s="3">
        <f t="shared" si="55"/>
        <v>12.67605633802817</v>
      </c>
      <c r="V121">
        <v>45</v>
      </c>
      <c r="W121" s="3">
        <f t="shared" si="56"/>
        <v>4.8754062838569885</v>
      </c>
      <c r="X121">
        <v>878</v>
      </c>
      <c r="Y121">
        <v>0</v>
      </c>
      <c r="Z121">
        <v>0</v>
      </c>
      <c r="AA121">
        <v>17</v>
      </c>
      <c r="AB121" s="3">
        <f t="shared" si="57"/>
        <v>1.8418201516793067</v>
      </c>
      <c r="AC121">
        <v>90</v>
      </c>
      <c r="AD121" s="3">
        <f t="shared" si="58"/>
        <v>9.750812567713977</v>
      </c>
      <c r="AE121">
        <v>75</v>
      </c>
      <c r="AF121" s="3">
        <f t="shared" si="59"/>
        <v>8.1256771397616472</v>
      </c>
      <c r="AG121">
        <v>46</v>
      </c>
      <c r="AH121" s="3">
        <f t="shared" si="60"/>
        <v>4.9837486457204765</v>
      </c>
      <c r="AI121">
        <v>221</v>
      </c>
      <c r="AJ121" s="3">
        <f t="shared" si="61"/>
        <v>23.943661971830984</v>
      </c>
      <c r="AK121">
        <v>280</v>
      </c>
      <c r="AL121" s="3">
        <f t="shared" si="62"/>
        <v>30.335861321776814</v>
      </c>
      <c r="AM121">
        <v>28</v>
      </c>
      <c r="AN121" s="3">
        <f t="shared" si="63"/>
        <v>3.0335861321776814</v>
      </c>
      <c r="AO121">
        <v>13</v>
      </c>
      <c r="AP121" s="3">
        <f t="shared" si="64"/>
        <v>1.408450704225352</v>
      </c>
      <c r="AQ121">
        <v>28</v>
      </c>
      <c r="AR121" s="3">
        <f t="shared" si="65"/>
        <v>3.0335861321776814</v>
      </c>
      <c r="AS121">
        <v>80</v>
      </c>
      <c r="AT121" s="3">
        <f t="shared" si="66"/>
        <v>8.6673889490790899</v>
      </c>
      <c r="AU121" t="s">
        <v>370</v>
      </c>
      <c r="AV121" s="72" t="str">
        <f>Дума_партии[[#This Row],[КОИБ]]</f>
        <v>N</v>
      </c>
      <c r="AW121" s="1" t="str">
        <f>IF(Дума_партии[[#This Row],[Наблюдателей]]=0,"",Дума_партии[[#This Row],[Наблюдателей]])</f>
        <v/>
      </c>
      <c r="AX121"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58.821917808219155</v>
      </c>
      <c r="AY121" s="10">
        <f>2*(Мособлдума_партии[[#This Row],[6. Всероссийская политическая партия "ЕДИНАЯ РОССИЯ"]]-(AB$203/100)*Мособлдума_партии[[#This Row],[Число действительных бюллетеней]])</f>
        <v>85.88</v>
      </c>
      <c r="AZ121" s="10">
        <f>(Мособлдума_партии[[#This Row],[Вброс]]+Мособлдума_партии[[#This Row],[Перекладывание]])/2</f>
        <v>72.350958904109575</v>
      </c>
    </row>
    <row r="122" spans="2:52" x14ac:dyDescent="0.4">
      <c r="B122" t="s">
        <v>74</v>
      </c>
      <c r="C122" t="s">
        <v>366</v>
      </c>
      <c r="D122" t="s">
        <v>227</v>
      </c>
      <c r="E122" t="s">
        <v>250</v>
      </c>
      <c r="F122" s="8">
        <f t="shared" ca="1" si="51"/>
        <v>1979</v>
      </c>
      <c r="G122" s="8" t="str">
        <f>Дума_партии[[#This Row],[Местоположение]]</f>
        <v>Одинцово</v>
      </c>
      <c r="H122" s="2" t="str">
        <f>LEFT(Мособлдума_партии[[#This Row],[tik]],4)&amp;"."&amp;IF(ISNUMBER(VALUE(RIGHT(Мособлдума_партии[[#This Row],[tik]]))),RIGHT(Мособлдума_партии[[#This Row],[tik]]),"")</f>
        <v>Один.2</v>
      </c>
      <c r="I122">
        <v>2209</v>
      </c>
      <c r="J122" s="8">
        <f>Мособлдума_партии[[#This Row],[Число избирателей, внесенных в список на момент окончания голосования]]</f>
        <v>2209</v>
      </c>
      <c r="K122">
        <v>2000</v>
      </c>
      <c r="L122" s="1"/>
      <c r="M122">
        <v>672</v>
      </c>
      <c r="N122">
        <v>15</v>
      </c>
      <c r="O122" s="3">
        <f t="shared" si="52"/>
        <v>31.100045269352648</v>
      </c>
      <c r="P122" s="3">
        <f t="shared" si="53"/>
        <v>0.67904028972385699</v>
      </c>
      <c r="Q122">
        <v>1313</v>
      </c>
      <c r="R122">
        <v>15</v>
      </c>
      <c r="S122">
        <v>672</v>
      </c>
      <c r="T122" s="1">
        <f t="shared" si="54"/>
        <v>687</v>
      </c>
      <c r="U122" s="3">
        <f t="shared" si="55"/>
        <v>2.1834061135371181</v>
      </c>
      <c r="V122">
        <v>26</v>
      </c>
      <c r="W122" s="3">
        <f t="shared" si="56"/>
        <v>3.7845705967976708</v>
      </c>
      <c r="X122">
        <v>661</v>
      </c>
      <c r="Y122">
        <v>0</v>
      </c>
      <c r="Z122">
        <v>0</v>
      </c>
      <c r="AA122">
        <v>12</v>
      </c>
      <c r="AB122" s="3">
        <f t="shared" si="57"/>
        <v>1.7467248908296944</v>
      </c>
      <c r="AC122">
        <v>64</v>
      </c>
      <c r="AD122" s="3">
        <f t="shared" si="58"/>
        <v>9.3158660844250356</v>
      </c>
      <c r="AE122">
        <v>74</v>
      </c>
      <c r="AF122" s="3">
        <f t="shared" si="59"/>
        <v>10.771470160116449</v>
      </c>
      <c r="AG122">
        <v>38</v>
      </c>
      <c r="AH122" s="3">
        <f t="shared" si="60"/>
        <v>5.5312954876273652</v>
      </c>
      <c r="AI122">
        <v>166</v>
      </c>
      <c r="AJ122" s="3">
        <f t="shared" si="61"/>
        <v>24.163027656477439</v>
      </c>
      <c r="AK122">
        <v>167</v>
      </c>
      <c r="AL122" s="3">
        <f t="shared" si="62"/>
        <v>24.308588064046578</v>
      </c>
      <c r="AM122">
        <v>19</v>
      </c>
      <c r="AN122" s="3">
        <f t="shared" si="63"/>
        <v>2.7656477438136826</v>
      </c>
      <c r="AO122">
        <v>19</v>
      </c>
      <c r="AP122" s="3">
        <f t="shared" si="64"/>
        <v>2.7656477438136826</v>
      </c>
      <c r="AQ122">
        <v>21</v>
      </c>
      <c r="AR122" s="3">
        <f t="shared" si="65"/>
        <v>3.0567685589519651</v>
      </c>
      <c r="AS122">
        <v>81</v>
      </c>
      <c r="AT122" s="3">
        <f t="shared" si="66"/>
        <v>11.790393013100436</v>
      </c>
      <c r="AU122" t="s">
        <v>370</v>
      </c>
      <c r="AV122" s="72">
        <f>Дума_партии[[#This Row],[КОИБ]]</f>
        <v>2017</v>
      </c>
      <c r="AW122" s="1" t="str">
        <f>IF(Дума_партии[[#This Row],[Наблюдателей]]=0,"",Дума_партии[[#This Row],[Наблюдателей]])</f>
        <v/>
      </c>
      <c r="AX122"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-15.712328767123296</v>
      </c>
      <c r="AY122" s="10">
        <f>2*(Мособлдума_партии[[#This Row],[6. Всероссийская политическая партия "ЕДИНАЯ РОССИЯ"]]-(AB$203/100)*Мособлдума_партии[[#This Row],[Число действительных бюллетеней]])</f>
        <v>-22.939999999999998</v>
      </c>
      <c r="AZ122" s="10">
        <f>(Мособлдума_партии[[#This Row],[Вброс]]+Мособлдума_партии[[#This Row],[Перекладывание]])/2</f>
        <v>-19.326164383561647</v>
      </c>
    </row>
    <row r="123" spans="2:52" x14ac:dyDescent="0.4">
      <c r="B123" t="s">
        <v>74</v>
      </c>
      <c r="C123" t="s">
        <v>366</v>
      </c>
      <c r="D123" t="s">
        <v>227</v>
      </c>
      <c r="E123" t="s">
        <v>251</v>
      </c>
      <c r="F123" s="8">
        <f t="shared" ca="1" si="51"/>
        <v>1981</v>
      </c>
      <c r="G123" s="8" t="str">
        <f>Дума_партии[[#This Row],[Местоположение]]</f>
        <v>Одинцово</v>
      </c>
      <c r="H123" s="2" t="str">
        <f>LEFT(Мособлдума_партии[[#This Row],[tik]],4)&amp;"."&amp;IF(ISNUMBER(VALUE(RIGHT(Мособлдума_партии[[#This Row],[tik]]))),RIGHT(Мособлдума_партии[[#This Row],[tik]]),"")</f>
        <v>Один.2</v>
      </c>
      <c r="I123">
        <v>2330</v>
      </c>
      <c r="J123" s="8">
        <f>Мособлдума_партии[[#This Row],[Число избирателей, внесенных в список на момент окончания голосования]]</f>
        <v>2330</v>
      </c>
      <c r="K123">
        <v>2000</v>
      </c>
      <c r="L123" s="1"/>
      <c r="M123">
        <v>1078</v>
      </c>
      <c r="N123">
        <v>134</v>
      </c>
      <c r="O123" s="3">
        <f t="shared" si="52"/>
        <v>52.017167381974247</v>
      </c>
      <c r="P123" s="3">
        <f t="shared" si="53"/>
        <v>5.7510729613733904</v>
      </c>
      <c r="Q123">
        <v>788</v>
      </c>
      <c r="R123">
        <v>134</v>
      </c>
      <c r="S123">
        <v>1078</v>
      </c>
      <c r="T123" s="1">
        <f t="shared" si="54"/>
        <v>1212</v>
      </c>
      <c r="U123" s="3">
        <f t="shared" si="55"/>
        <v>11.056105610561056</v>
      </c>
      <c r="V123">
        <v>36</v>
      </c>
      <c r="W123" s="3">
        <f t="shared" si="56"/>
        <v>2.9702970297029703</v>
      </c>
      <c r="X123">
        <v>1176</v>
      </c>
      <c r="Y123">
        <v>0</v>
      </c>
      <c r="Z123">
        <v>0</v>
      </c>
      <c r="AA123">
        <v>16</v>
      </c>
      <c r="AB123" s="3">
        <f t="shared" si="57"/>
        <v>1.3201320132013201</v>
      </c>
      <c r="AC123">
        <v>69</v>
      </c>
      <c r="AD123" s="3">
        <f t="shared" si="58"/>
        <v>5.6930693069306928</v>
      </c>
      <c r="AE123">
        <v>70</v>
      </c>
      <c r="AF123" s="3">
        <f t="shared" si="59"/>
        <v>5.775577557755776</v>
      </c>
      <c r="AG123">
        <v>65</v>
      </c>
      <c r="AH123" s="3">
        <f t="shared" si="60"/>
        <v>5.3630363036303628</v>
      </c>
      <c r="AI123">
        <v>212</v>
      </c>
      <c r="AJ123" s="3">
        <f t="shared" si="61"/>
        <v>17.491749174917491</v>
      </c>
      <c r="AK123">
        <v>585</v>
      </c>
      <c r="AL123" s="3">
        <f t="shared" si="62"/>
        <v>48.267326732673268</v>
      </c>
      <c r="AM123">
        <v>20</v>
      </c>
      <c r="AN123" s="3">
        <f t="shared" si="63"/>
        <v>1.6501650165016502</v>
      </c>
      <c r="AO123">
        <v>29</v>
      </c>
      <c r="AP123" s="3">
        <f t="shared" si="64"/>
        <v>2.3927392739273929</v>
      </c>
      <c r="AQ123">
        <v>26</v>
      </c>
      <c r="AR123" s="3">
        <f t="shared" si="65"/>
        <v>2.1452145214521452</v>
      </c>
      <c r="AS123">
        <v>84</v>
      </c>
      <c r="AT123" s="3">
        <f t="shared" si="66"/>
        <v>6.9306930693069306</v>
      </c>
      <c r="AU123" t="s">
        <v>370</v>
      </c>
      <c r="AV123" s="72">
        <f>Дума_партии[[#This Row],[КОИБ]]</f>
        <v>2017</v>
      </c>
      <c r="AW123" s="1" t="str">
        <f>IF(Дума_партии[[#This Row],[Наблюдателей]]=0,"",Дума_партии[[#This Row],[Наблюдателей]])</f>
        <v/>
      </c>
      <c r="AX123"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366.41095890410958</v>
      </c>
      <c r="AY123" s="10">
        <f>2*(Мособлдума_партии[[#This Row],[6. Всероссийская политическая партия "ЕДИНАЯ РОССИЯ"]]-(AB$203/100)*Мособлдума_партии[[#This Row],[Число действительных бюллетеней]])</f>
        <v>534.95999999999992</v>
      </c>
      <c r="AZ123" s="10">
        <f>(Мособлдума_партии[[#This Row],[Вброс]]+Мособлдума_партии[[#This Row],[Перекладывание]])/2</f>
        <v>450.68547945205478</v>
      </c>
    </row>
    <row r="124" spans="2:52" x14ac:dyDescent="0.4">
      <c r="B124" t="s">
        <v>74</v>
      </c>
      <c r="C124" t="s">
        <v>366</v>
      </c>
      <c r="D124" t="s">
        <v>227</v>
      </c>
      <c r="E124" t="s">
        <v>252</v>
      </c>
      <c r="F124" s="8">
        <f t="shared" ref="F124:F155" ca="1" si="67">SUMPRODUCT(MID(0&amp;E124, LARGE(INDEX(ISNUMBER(--MID(E124, ROW(INDIRECT("1:"&amp;LEN(E124))), 1)) * ROW(INDIRECT("1:"&amp;LEN(E124))), 0), ROW(INDIRECT("1:"&amp;LEN(E124))))+1, 1) * 10^ROW(INDIRECT("1:"&amp;LEN(E124)))/10)</f>
        <v>1983</v>
      </c>
      <c r="G124" s="8" t="str">
        <f>Дума_партии[[#This Row],[Местоположение]]</f>
        <v>Одинцово</v>
      </c>
      <c r="H124" s="2" t="str">
        <f>LEFT(Мособлдума_партии[[#This Row],[tik]],4)&amp;"."&amp;IF(ISNUMBER(VALUE(RIGHT(Мособлдума_партии[[#This Row],[tik]]))),RIGHT(Мособлдума_партии[[#This Row],[tik]]),"")</f>
        <v>Один.2</v>
      </c>
      <c r="I124">
        <v>2013</v>
      </c>
      <c r="J124" s="8">
        <f>Мособлдума_партии[[#This Row],[Число избирателей, внесенных в список на момент окончания голосования]]</f>
        <v>2013</v>
      </c>
      <c r="K124">
        <v>1600</v>
      </c>
      <c r="L124" s="1"/>
      <c r="M124">
        <v>666</v>
      </c>
      <c r="N124">
        <v>31</v>
      </c>
      <c r="O124" s="3">
        <f t="shared" ref="O124:O155" si="68">100*(M124+N124)/I124</f>
        <v>34.624937903626432</v>
      </c>
      <c r="P124" s="3">
        <f t="shared" ref="P124:P155" si="69">100*N124/I124</f>
        <v>1.5399900645802285</v>
      </c>
      <c r="Q124">
        <v>903</v>
      </c>
      <c r="R124">
        <v>31</v>
      </c>
      <c r="S124">
        <v>635</v>
      </c>
      <c r="T124" s="1">
        <f t="shared" ref="T124:T155" si="70">R124+S124</f>
        <v>666</v>
      </c>
      <c r="U124" s="3">
        <f t="shared" ref="U124:U155" si="71">100*R124/T124</f>
        <v>4.6546546546546548</v>
      </c>
      <c r="V124">
        <v>22</v>
      </c>
      <c r="W124" s="3">
        <f t="shared" ref="W124:W155" si="72">100*V124/T124</f>
        <v>3.3033033033033035</v>
      </c>
      <c r="X124">
        <v>644</v>
      </c>
      <c r="Y124">
        <v>0</v>
      </c>
      <c r="Z124">
        <v>0</v>
      </c>
      <c r="AA124">
        <v>16</v>
      </c>
      <c r="AB124" s="3">
        <f t="shared" ref="AB124:AB155" si="73">100*AA124/$T124</f>
        <v>2.4024024024024024</v>
      </c>
      <c r="AC124">
        <v>59</v>
      </c>
      <c r="AD124" s="3">
        <f t="shared" ref="AD124:AD155" si="74">100*AC124/$T124</f>
        <v>8.8588588588588593</v>
      </c>
      <c r="AE124">
        <v>49</v>
      </c>
      <c r="AF124" s="3">
        <f t="shared" ref="AF124:AF155" si="75">100*AE124/$T124</f>
        <v>7.3573573573573574</v>
      </c>
      <c r="AG124">
        <v>33</v>
      </c>
      <c r="AH124" s="3">
        <f t="shared" ref="AH124:AH155" si="76">100*AG124/$T124</f>
        <v>4.954954954954955</v>
      </c>
      <c r="AI124">
        <v>123</v>
      </c>
      <c r="AJ124" s="3">
        <f t="shared" ref="AJ124:AJ155" si="77">100*AI124/$T124</f>
        <v>18.468468468468469</v>
      </c>
      <c r="AK124">
        <v>229</v>
      </c>
      <c r="AL124" s="3">
        <f t="shared" ref="AL124:AL155" si="78">100*AK124/$T124</f>
        <v>34.384384384384383</v>
      </c>
      <c r="AM124">
        <v>11</v>
      </c>
      <c r="AN124" s="3">
        <f t="shared" ref="AN124:AN155" si="79">100*AM124/$T124</f>
        <v>1.6516516516516517</v>
      </c>
      <c r="AO124">
        <v>26</v>
      </c>
      <c r="AP124" s="3">
        <f t="shared" ref="AP124:AP155" si="80">100*AO124/$T124</f>
        <v>3.9039039039039038</v>
      </c>
      <c r="AQ124">
        <v>28</v>
      </c>
      <c r="AR124" s="3">
        <f t="shared" ref="AR124:AR155" si="81">100*AQ124/$T124</f>
        <v>4.2042042042042045</v>
      </c>
      <c r="AS124">
        <v>70</v>
      </c>
      <c r="AT124" s="3">
        <f t="shared" ref="AT124:AT155" si="82">100*AS124/$T124</f>
        <v>10.51051051051051</v>
      </c>
      <c r="AU124" t="s">
        <v>370</v>
      </c>
      <c r="AV124" s="72">
        <f>Дума_партии[[#This Row],[КОИБ]]</f>
        <v>2017</v>
      </c>
      <c r="AW124" s="1">
        <f>IF(Дума_партии[[#This Row],[Наблюдателей]]=0,"",Дума_партии[[#This Row],[Наблюдателей]])</f>
        <v>1</v>
      </c>
      <c r="AX124"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75.506849315068479</v>
      </c>
      <c r="AY124" s="10">
        <f>2*(Мособлдума_партии[[#This Row],[6. Всероссийская политическая партия "ЕДИНАЯ РОССИЯ"]]-(AB$203/100)*Мособлдума_партии[[#This Row],[Число действительных бюллетеней]])</f>
        <v>110.23999999999995</v>
      </c>
      <c r="AZ124" s="10">
        <f>(Мособлдума_партии[[#This Row],[Вброс]]+Мособлдума_партии[[#This Row],[Перекладывание]])/2</f>
        <v>92.873424657534215</v>
      </c>
    </row>
    <row r="125" spans="2:52" x14ac:dyDescent="0.4">
      <c r="B125" t="s">
        <v>74</v>
      </c>
      <c r="C125" t="s">
        <v>366</v>
      </c>
      <c r="D125" t="s">
        <v>227</v>
      </c>
      <c r="E125" t="s">
        <v>253</v>
      </c>
      <c r="F125" s="8">
        <f t="shared" ca="1" si="67"/>
        <v>1985</v>
      </c>
      <c r="G125" s="8" t="str">
        <f>Дума_партии[[#This Row],[Местоположение]]</f>
        <v>Одинцово</v>
      </c>
      <c r="H125" s="2" t="str">
        <f>LEFT(Мособлдума_партии[[#This Row],[tik]],4)&amp;"."&amp;IF(ISNUMBER(VALUE(RIGHT(Мособлдума_партии[[#This Row],[tik]]))),RIGHT(Мособлдума_партии[[#This Row],[tik]]),"")</f>
        <v>Один.2</v>
      </c>
      <c r="I125">
        <v>2023</v>
      </c>
      <c r="J125" s="8">
        <f>Мособлдума_партии[[#This Row],[Число избирателей, внесенных в список на момент окончания голосования]]</f>
        <v>2023</v>
      </c>
      <c r="K125">
        <v>1800</v>
      </c>
      <c r="L125" s="1"/>
      <c r="M125">
        <v>701</v>
      </c>
      <c r="N125">
        <v>9</v>
      </c>
      <c r="O125" s="3">
        <f t="shared" si="68"/>
        <v>35.096391497775578</v>
      </c>
      <c r="P125" s="3">
        <f t="shared" si="69"/>
        <v>0.44488383588729608</v>
      </c>
      <c r="Q125">
        <v>1090</v>
      </c>
      <c r="R125">
        <v>9</v>
      </c>
      <c r="S125">
        <v>696</v>
      </c>
      <c r="T125" s="1">
        <f t="shared" si="70"/>
        <v>705</v>
      </c>
      <c r="U125" s="3">
        <f t="shared" si="71"/>
        <v>1.2765957446808511</v>
      </c>
      <c r="V125">
        <v>39</v>
      </c>
      <c r="W125" s="3">
        <f t="shared" si="72"/>
        <v>5.5319148936170217</v>
      </c>
      <c r="X125">
        <v>666</v>
      </c>
      <c r="Y125">
        <v>0</v>
      </c>
      <c r="Z125">
        <v>0</v>
      </c>
      <c r="AA125">
        <v>14</v>
      </c>
      <c r="AB125" s="3">
        <f t="shared" si="73"/>
        <v>1.9858156028368794</v>
      </c>
      <c r="AC125">
        <v>67</v>
      </c>
      <c r="AD125" s="3">
        <f t="shared" si="74"/>
        <v>9.5035460992907801</v>
      </c>
      <c r="AE125">
        <v>59</v>
      </c>
      <c r="AF125" s="3">
        <f t="shared" si="75"/>
        <v>8.3687943262411348</v>
      </c>
      <c r="AG125">
        <v>46</v>
      </c>
      <c r="AH125" s="3">
        <f t="shared" si="76"/>
        <v>6.5248226950354606</v>
      </c>
      <c r="AI125">
        <v>147</v>
      </c>
      <c r="AJ125" s="3">
        <f t="shared" si="77"/>
        <v>20.851063829787233</v>
      </c>
      <c r="AK125">
        <v>187</v>
      </c>
      <c r="AL125" s="3">
        <f t="shared" si="78"/>
        <v>26.524822695035461</v>
      </c>
      <c r="AM125">
        <v>20</v>
      </c>
      <c r="AN125" s="3">
        <f t="shared" si="79"/>
        <v>2.8368794326241136</v>
      </c>
      <c r="AO125">
        <v>20</v>
      </c>
      <c r="AP125" s="3">
        <f t="shared" si="80"/>
        <v>2.8368794326241136</v>
      </c>
      <c r="AQ125">
        <v>36</v>
      </c>
      <c r="AR125" s="3">
        <f t="shared" si="81"/>
        <v>5.1063829787234045</v>
      </c>
      <c r="AS125">
        <v>70</v>
      </c>
      <c r="AT125" s="3">
        <f t="shared" si="82"/>
        <v>9.9290780141843964</v>
      </c>
      <c r="AU125" t="s">
        <v>370</v>
      </c>
      <c r="AV125" s="72">
        <f>Дума_партии[[#This Row],[КОИБ]]</f>
        <v>2017</v>
      </c>
      <c r="AW125" s="1" t="str">
        <f>IF(Дума_партии[[#This Row],[Наблюдателей]]=0,"",Дума_партии[[#This Row],[Наблюдателей]])</f>
        <v/>
      </c>
      <c r="AX125"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9.8356164383561406</v>
      </c>
      <c r="AY125" s="10">
        <f>2*(Мособлдума_партии[[#This Row],[6. Всероссийская политическая партия "ЕДИНАЯ РОССИЯ"]]-(AB$203/100)*Мособлдума_партии[[#This Row],[Число действительных бюллетеней]])</f>
        <v>14.359999999999957</v>
      </c>
      <c r="AZ125" s="10">
        <f>(Мособлдума_партии[[#This Row],[Вброс]]+Мособлдума_партии[[#This Row],[Перекладывание]])/2</f>
        <v>12.097808219178049</v>
      </c>
    </row>
    <row r="126" spans="2:52" x14ac:dyDescent="0.4">
      <c r="B126" t="s">
        <v>74</v>
      </c>
      <c r="C126" t="s">
        <v>366</v>
      </c>
      <c r="D126" t="s">
        <v>227</v>
      </c>
      <c r="E126" t="s">
        <v>254</v>
      </c>
      <c r="F126" s="8">
        <f t="shared" ca="1" si="67"/>
        <v>1987</v>
      </c>
      <c r="G126" s="8" t="str">
        <f>Дума_партии[[#This Row],[Местоположение]]</f>
        <v>Одинцово</v>
      </c>
      <c r="H126" s="2" t="str">
        <f>LEFT(Мособлдума_партии[[#This Row],[tik]],4)&amp;"."&amp;IF(ISNUMBER(VALUE(RIGHT(Мособлдума_партии[[#This Row],[tik]]))),RIGHT(Мособлдума_партии[[#This Row],[tik]]),"")</f>
        <v>Один.2</v>
      </c>
      <c r="I126">
        <v>2032</v>
      </c>
      <c r="J126" s="8">
        <f>Мособлдума_партии[[#This Row],[Число избирателей, внесенных в список на момент окончания голосования]]</f>
        <v>2032</v>
      </c>
      <c r="K126">
        <v>1500</v>
      </c>
      <c r="L126" s="1"/>
      <c r="M126">
        <v>793</v>
      </c>
      <c r="N126">
        <v>79</v>
      </c>
      <c r="O126" s="3">
        <f t="shared" si="68"/>
        <v>42.913385826771652</v>
      </c>
      <c r="P126" s="3">
        <f t="shared" si="69"/>
        <v>3.8877952755905514</v>
      </c>
      <c r="Q126">
        <v>628</v>
      </c>
      <c r="R126">
        <v>79</v>
      </c>
      <c r="S126">
        <v>714</v>
      </c>
      <c r="T126" s="1">
        <f t="shared" si="70"/>
        <v>793</v>
      </c>
      <c r="U126" s="3">
        <f t="shared" si="71"/>
        <v>9.9621689785624206</v>
      </c>
      <c r="V126">
        <v>55</v>
      </c>
      <c r="W126" s="3">
        <f t="shared" si="72"/>
        <v>6.9356872635561162</v>
      </c>
      <c r="X126">
        <v>738</v>
      </c>
      <c r="Y126">
        <v>0</v>
      </c>
      <c r="Z126">
        <v>0</v>
      </c>
      <c r="AA126">
        <v>14</v>
      </c>
      <c r="AB126" s="3">
        <f t="shared" si="73"/>
        <v>1.7654476670870114</v>
      </c>
      <c r="AC126">
        <v>56</v>
      </c>
      <c r="AD126" s="3">
        <f t="shared" si="74"/>
        <v>7.0617906683480456</v>
      </c>
      <c r="AE126">
        <v>55</v>
      </c>
      <c r="AF126" s="3">
        <f t="shared" si="75"/>
        <v>6.9356872635561162</v>
      </c>
      <c r="AG126">
        <v>35</v>
      </c>
      <c r="AH126" s="3">
        <f t="shared" si="76"/>
        <v>4.4136191677175285</v>
      </c>
      <c r="AI126">
        <v>185</v>
      </c>
      <c r="AJ126" s="3">
        <f t="shared" si="77"/>
        <v>23.329129886506937</v>
      </c>
      <c r="AK126">
        <v>252</v>
      </c>
      <c r="AL126" s="3">
        <f t="shared" si="78"/>
        <v>31.778058007566205</v>
      </c>
      <c r="AM126">
        <v>15</v>
      </c>
      <c r="AN126" s="3">
        <f t="shared" si="79"/>
        <v>1.8915510718789408</v>
      </c>
      <c r="AO126">
        <v>26</v>
      </c>
      <c r="AP126" s="3">
        <f t="shared" si="80"/>
        <v>3.278688524590164</v>
      </c>
      <c r="AQ126">
        <v>23</v>
      </c>
      <c r="AR126" s="3">
        <f t="shared" si="81"/>
        <v>2.9003783102143759</v>
      </c>
      <c r="AS126">
        <v>77</v>
      </c>
      <c r="AT126" s="3">
        <f t="shared" si="82"/>
        <v>9.7099621689785618</v>
      </c>
      <c r="AU126" t="s">
        <v>370</v>
      </c>
      <c r="AV126" s="72">
        <f>Дума_партии[[#This Row],[КОИБ]]</f>
        <v>2017</v>
      </c>
      <c r="AW126" s="1">
        <f>IF(Дума_партии[[#This Row],[Наблюдателей]]=0,"",Дума_партии[[#This Row],[Наблюдателей]])</f>
        <v>2</v>
      </c>
      <c r="AX126"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72.246575342465746</v>
      </c>
      <c r="AY126" s="10">
        <f>2*(Мособлдума_партии[[#This Row],[6. Всероссийская политическая партия "ЕДИНАЯ РОССИЯ"]]-(AB$203/100)*Мособлдума_партии[[#This Row],[Число действительных бюллетеней]])</f>
        <v>105.47999999999996</v>
      </c>
      <c r="AZ126" s="10">
        <f>(Мособлдума_партии[[#This Row],[Вброс]]+Мособлдума_партии[[#This Row],[Перекладывание]])/2</f>
        <v>88.863287671232854</v>
      </c>
    </row>
    <row r="127" spans="2:52" x14ac:dyDescent="0.4">
      <c r="B127" t="s">
        <v>74</v>
      </c>
      <c r="C127" t="s">
        <v>366</v>
      </c>
      <c r="D127" t="s">
        <v>227</v>
      </c>
      <c r="E127" t="s">
        <v>255</v>
      </c>
      <c r="F127" s="8">
        <f t="shared" ca="1" si="67"/>
        <v>1989</v>
      </c>
      <c r="G127" s="8" t="str">
        <f>Дума_партии[[#This Row],[Местоположение]]</f>
        <v>Одинцово</v>
      </c>
      <c r="H127" s="2" t="str">
        <f>LEFT(Мособлдума_партии[[#This Row],[tik]],4)&amp;"."&amp;IF(ISNUMBER(VALUE(RIGHT(Мособлдума_партии[[#This Row],[tik]]))),RIGHT(Мособлдума_партии[[#This Row],[tik]]),"")</f>
        <v>Один.2</v>
      </c>
      <c r="I127">
        <v>1759</v>
      </c>
      <c r="J127" s="8">
        <f>Мособлдума_партии[[#This Row],[Число избирателей, внесенных в список на момент окончания голосования]]</f>
        <v>1759</v>
      </c>
      <c r="K127">
        <v>1500</v>
      </c>
      <c r="L127" s="1"/>
      <c r="M127">
        <v>623</v>
      </c>
      <c r="N127">
        <v>75</v>
      </c>
      <c r="O127" s="3">
        <f t="shared" si="68"/>
        <v>39.681637293916999</v>
      </c>
      <c r="P127" s="3">
        <f t="shared" si="69"/>
        <v>4.2637862421830581</v>
      </c>
      <c r="Q127">
        <v>801</v>
      </c>
      <c r="R127">
        <v>74</v>
      </c>
      <c r="S127">
        <v>623</v>
      </c>
      <c r="T127" s="1">
        <f t="shared" si="70"/>
        <v>697</v>
      </c>
      <c r="U127" s="3">
        <f t="shared" si="71"/>
        <v>10.616929698708752</v>
      </c>
      <c r="V127">
        <v>35</v>
      </c>
      <c r="W127" s="3">
        <f t="shared" si="72"/>
        <v>5.0215208034433285</v>
      </c>
      <c r="X127">
        <v>662</v>
      </c>
      <c r="Y127">
        <v>1</v>
      </c>
      <c r="Z127">
        <v>0</v>
      </c>
      <c r="AA127">
        <v>19</v>
      </c>
      <c r="AB127" s="3">
        <f t="shared" si="73"/>
        <v>2.7259684361549499</v>
      </c>
      <c r="AC127">
        <v>62</v>
      </c>
      <c r="AD127" s="3">
        <f t="shared" si="74"/>
        <v>8.8952654232424671</v>
      </c>
      <c r="AE127">
        <v>50</v>
      </c>
      <c r="AF127" s="3">
        <f t="shared" si="75"/>
        <v>7.1736011477761839</v>
      </c>
      <c r="AG127">
        <v>41</v>
      </c>
      <c r="AH127" s="3">
        <f t="shared" si="76"/>
        <v>5.882352941176471</v>
      </c>
      <c r="AI127">
        <v>140</v>
      </c>
      <c r="AJ127" s="3">
        <f t="shared" si="77"/>
        <v>20.086083213773314</v>
      </c>
      <c r="AK127">
        <v>211</v>
      </c>
      <c r="AL127" s="3">
        <f t="shared" si="78"/>
        <v>30.272596843615496</v>
      </c>
      <c r="AM127">
        <v>18</v>
      </c>
      <c r="AN127" s="3">
        <f t="shared" si="79"/>
        <v>2.5824964131994261</v>
      </c>
      <c r="AO127">
        <v>18</v>
      </c>
      <c r="AP127" s="3">
        <f t="shared" si="80"/>
        <v>2.5824964131994261</v>
      </c>
      <c r="AQ127">
        <v>30</v>
      </c>
      <c r="AR127" s="3">
        <f t="shared" si="81"/>
        <v>4.3041606886657098</v>
      </c>
      <c r="AS127">
        <v>73</v>
      </c>
      <c r="AT127" s="3">
        <f t="shared" si="82"/>
        <v>10.473457675753227</v>
      </c>
      <c r="AU127" t="s">
        <v>370</v>
      </c>
      <c r="AV127" s="72">
        <f>Дума_партии[[#This Row],[КОИБ]]</f>
        <v>2017</v>
      </c>
      <c r="AW127" s="1" t="str">
        <f>IF(Дума_партии[[#This Row],[Наблюдателей]]=0,"",Дума_партии[[#This Row],[Наблюдателей]])</f>
        <v/>
      </c>
      <c r="AX127"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44.191780821917803</v>
      </c>
      <c r="AY127" s="10">
        <f>2*(Мособлдума_партии[[#This Row],[6. Всероссийская политическая партия "ЕДИНАЯ РОССИЯ"]]-(AB$203/100)*Мособлдума_партии[[#This Row],[Число действительных бюллетеней]])</f>
        <v>64.519999999999982</v>
      </c>
      <c r="AZ127" s="10">
        <f>(Мособлдума_партии[[#This Row],[Вброс]]+Мособлдума_партии[[#This Row],[Перекладывание]])/2</f>
        <v>54.355890410958892</v>
      </c>
    </row>
    <row r="128" spans="2:52" x14ac:dyDescent="0.4">
      <c r="B128" t="s">
        <v>74</v>
      </c>
      <c r="C128" t="s">
        <v>366</v>
      </c>
      <c r="D128" t="s">
        <v>227</v>
      </c>
      <c r="E128" t="s">
        <v>256</v>
      </c>
      <c r="F128" s="8">
        <f t="shared" ca="1" si="67"/>
        <v>1991</v>
      </c>
      <c r="G128" s="8" t="str">
        <f>Дума_партии[[#This Row],[Местоположение]]</f>
        <v>Одинцово</v>
      </c>
      <c r="H128" s="2" t="str">
        <f>LEFT(Мособлдума_партии[[#This Row],[tik]],4)&amp;"."&amp;IF(ISNUMBER(VALUE(RIGHT(Мособлдума_партии[[#This Row],[tik]]))),RIGHT(Мособлдума_партии[[#This Row],[tik]]),"")</f>
        <v>Один.2</v>
      </c>
      <c r="I128">
        <v>2293</v>
      </c>
      <c r="J128" s="8">
        <f>Мособлдума_партии[[#This Row],[Число избирателей, внесенных в список на момент окончания голосования]]</f>
        <v>2293</v>
      </c>
      <c r="K128">
        <v>2000</v>
      </c>
      <c r="L128" s="1"/>
      <c r="M128">
        <v>791</v>
      </c>
      <c r="N128">
        <v>33</v>
      </c>
      <c r="O128" s="3">
        <f t="shared" si="68"/>
        <v>35.935455734845178</v>
      </c>
      <c r="P128" s="3">
        <f t="shared" si="69"/>
        <v>1.439162668992586</v>
      </c>
      <c r="Q128">
        <v>1176</v>
      </c>
      <c r="R128">
        <v>33</v>
      </c>
      <c r="S128">
        <v>791</v>
      </c>
      <c r="T128" s="1">
        <f t="shared" si="70"/>
        <v>824</v>
      </c>
      <c r="U128" s="3">
        <f t="shared" si="71"/>
        <v>4.0048543689320386</v>
      </c>
      <c r="V128">
        <v>22</v>
      </c>
      <c r="W128" s="3">
        <f t="shared" si="72"/>
        <v>2.6699029126213594</v>
      </c>
      <c r="X128">
        <v>802</v>
      </c>
      <c r="Y128">
        <v>0</v>
      </c>
      <c r="Z128">
        <v>0</v>
      </c>
      <c r="AA128">
        <v>16</v>
      </c>
      <c r="AB128" s="3">
        <f t="shared" si="73"/>
        <v>1.941747572815534</v>
      </c>
      <c r="AC128">
        <v>73</v>
      </c>
      <c r="AD128" s="3">
        <f t="shared" si="74"/>
        <v>8.8592233009708732</v>
      </c>
      <c r="AE128">
        <v>73</v>
      </c>
      <c r="AF128" s="3">
        <f t="shared" si="75"/>
        <v>8.8592233009708732</v>
      </c>
      <c r="AG128">
        <v>61</v>
      </c>
      <c r="AH128" s="3">
        <f t="shared" si="76"/>
        <v>7.4029126213592233</v>
      </c>
      <c r="AI128">
        <v>191</v>
      </c>
      <c r="AJ128" s="3">
        <f t="shared" si="77"/>
        <v>23.179611650485437</v>
      </c>
      <c r="AK128">
        <v>207</v>
      </c>
      <c r="AL128" s="3">
        <f t="shared" si="78"/>
        <v>25.121359223300971</v>
      </c>
      <c r="AM128">
        <v>36</v>
      </c>
      <c r="AN128" s="3">
        <f t="shared" si="79"/>
        <v>4.3689320388349513</v>
      </c>
      <c r="AO128">
        <v>35</v>
      </c>
      <c r="AP128" s="3">
        <f t="shared" si="80"/>
        <v>4.2475728155339807</v>
      </c>
      <c r="AQ128">
        <v>23</v>
      </c>
      <c r="AR128" s="3">
        <f t="shared" si="81"/>
        <v>2.79126213592233</v>
      </c>
      <c r="AS128">
        <v>87</v>
      </c>
      <c r="AT128" s="3">
        <f t="shared" si="82"/>
        <v>10.558252427184467</v>
      </c>
      <c r="AU128" t="s">
        <v>370</v>
      </c>
      <c r="AV128" s="72">
        <f>Дума_партии[[#This Row],[КОИБ]]</f>
        <v>2017</v>
      </c>
      <c r="AW128" s="1" t="str">
        <f>IF(Дума_партии[[#This Row],[Наблюдателей]]=0,"",Дума_партии[[#This Row],[Наблюдателей]])</f>
        <v/>
      </c>
      <c r="AX128"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-13.068493150684958</v>
      </c>
      <c r="AY128" s="10">
        <f>2*(Мособлдума_партии[[#This Row],[6. Всероссийская политическая партия "ЕДИНАЯ РОССИЯ"]]-(AB$203/100)*Мособлдума_партии[[#This Row],[Число действительных бюллетеней]])</f>
        <v>-19.080000000000041</v>
      </c>
      <c r="AZ128" s="10">
        <f>(Мособлдума_партии[[#This Row],[Вброс]]+Мособлдума_партии[[#This Row],[Перекладывание]])/2</f>
        <v>-16.074246575342499</v>
      </c>
    </row>
    <row r="129" spans="2:52" x14ac:dyDescent="0.4">
      <c r="B129" t="s">
        <v>74</v>
      </c>
      <c r="C129" t="s">
        <v>366</v>
      </c>
      <c r="D129" t="s">
        <v>227</v>
      </c>
      <c r="E129" t="s">
        <v>257</v>
      </c>
      <c r="F129" s="8">
        <f t="shared" ca="1" si="67"/>
        <v>1993</v>
      </c>
      <c r="G129" s="8" t="str">
        <f>Дума_партии[[#This Row],[Местоположение]]</f>
        <v>Одинцово</v>
      </c>
      <c r="H129" s="2" t="str">
        <f>LEFT(Мособлдума_партии[[#This Row],[tik]],4)&amp;"."&amp;IF(ISNUMBER(VALUE(RIGHT(Мособлдума_партии[[#This Row],[tik]]))),RIGHT(Мособлдума_партии[[#This Row],[tik]]),"")</f>
        <v>Один.2</v>
      </c>
      <c r="I129">
        <v>2176</v>
      </c>
      <c r="J129" s="8">
        <f>Мособлдума_партии[[#This Row],[Число избирателей, внесенных в список на момент окончания голосования]]</f>
        <v>2176</v>
      </c>
      <c r="K129">
        <v>2000</v>
      </c>
      <c r="L129" s="1"/>
      <c r="M129">
        <v>717</v>
      </c>
      <c r="N129">
        <v>4</v>
      </c>
      <c r="O129" s="3">
        <f t="shared" si="68"/>
        <v>33.134191176470587</v>
      </c>
      <c r="P129" s="3">
        <f t="shared" si="69"/>
        <v>0.18382352941176472</v>
      </c>
      <c r="Q129">
        <v>1279</v>
      </c>
      <c r="R129">
        <v>4</v>
      </c>
      <c r="S129">
        <v>717</v>
      </c>
      <c r="T129" s="1">
        <f t="shared" si="70"/>
        <v>721</v>
      </c>
      <c r="U129" s="3">
        <f t="shared" si="71"/>
        <v>0.55478502080443826</v>
      </c>
      <c r="V129">
        <v>47</v>
      </c>
      <c r="W129" s="3">
        <f t="shared" si="72"/>
        <v>6.5187239944521496</v>
      </c>
      <c r="X129">
        <v>674</v>
      </c>
      <c r="Y129">
        <v>0</v>
      </c>
      <c r="Z129">
        <v>0</v>
      </c>
      <c r="AA129">
        <v>15</v>
      </c>
      <c r="AB129" s="3">
        <f t="shared" si="73"/>
        <v>2.0804438280166435</v>
      </c>
      <c r="AC129">
        <v>52</v>
      </c>
      <c r="AD129" s="3">
        <f t="shared" si="74"/>
        <v>7.212205270457698</v>
      </c>
      <c r="AE129">
        <v>73</v>
      </c>
      <c r="AF129" s="3">
        <f t="shared" si="75"/>
        <v>10.124826629680999</v>
      </c>
      <c r="AG129">
        <v>48</v>
      </c>
      <c r="AH129" s="3">
        <f t="shared" si="76"/>
        <v>6.6574202496532591</v>
      </c>
      <c r="AI129">
        <v>166</v>
      </c>
      <c r="AJ129" s="3">
        <f t="shared" si="77"/>
        <v>23.023578363384189</v>
      </c>
      <c r="AK129">
        <v>157</v>
      </c>
      <c r="AL129" s="3">
        <f t="shared" si="78"/>
        <v>21.775312066574202</v>
      </c>
      <c r="AM129">
        <v>18</v>
      </c>
      <c r="AN129" s="3">
        <f t="shared" si="79"/>
        <v>2.496532593619972</v>
      </c>
      <c r="AO129">
        <v>23</v>
      </c>
      <c r="AP129" s="3">
        <f t="shared" si="80"/>
        <v>3.19001386962552</v>
      </c>
      <c r="AQ129">
        <v>24</v>
      </c>
      <c r="AR129" s="3">
        <f t="shared" si="81"/>
        <v>3.3287101248266295</v>
      </c>
      <c r="AS129">
        <v>98</v>
      </c>
      <c r="AT129" s="3">
        <f t="shared" si="82"/>
        <v>13.592233009708737</v>
      </c>
      <c r="AU129" t="s">
        <v>370</v>
      </c>
      <c r="AV129" s="72">
        <f>Дума_партии[[#This Row],[КОИБ]]</f>
        <v>2017</v>
      </c>
      <c r="AW129" s="1" t="str">
        <f>IF(Дума_партии[[#This Row],[Наблюдателей]]=0,"",Дума_партии[[#This Row],[Наблюдателей]])</f>
        <v/>
      </c>
      <c r="AX129"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-34.219178082191803</v>
      </c>
      <c r="AY129" s="10">
        <f>2*(Мособлдума_партии[[#This Row],[6. Всероссийская политическая партия "ЕДИНАЯ РОССИЯ"]]-(AB$203/100)*Мособлдума_партии[[#This Row],[Число действительных бюллетеней]])</f>
        <v>-49.960000000000036</v>
      </c>
      <c r="AZ129" s="10">
        <f>(Мособлдума_партии[[#This Row],[Вброс]]+Мособлдума_партии[[#This Row],[Перекладывание]])/2</f>
        <v>-42.08958904109592</v>
      </c>
    </row>
    <row r="130" spans="2:52" x14ac:dyDescent="0.4">
      <c r="B130" t="s">
        <v>74</v>
      </c>
      <c r="C130" t="s">
        <v>366</v>
      </c>
      <c r="D130" t="s">
        <v>227</v>
      </c>
      <c r="E130" t="s">
        <v>258</v>
      </c>
      <c r="F130" s="8">
        <f t="shared" ca="1" si="67"/>
        <v>1995</v>
      </c>
      <c r="G130" s="8" t="str">
        <f>Дума_партии[[#This Row],[Местоположение]]</f>
        <v>Одинцово</v>
      </c>
      <c r="H130" s="2" t="str">
        <f>LEFT(Мособлдума_партии[[#This Row],[tik]],4)&amp;"."&amp;IF(ISNUMBER(VALUE(RIGHT(Мособлдума_партии[[#This Row],[tik]]))),RIGHT(Мособлдума_партии[[#This Row],[tik]]),"")</f>
        <v>Один.2</v>
      </c>
      <c r="I130">
        <v>1998</v>
      </c>
      <c r="J130" s="8">
        <f>Мособлдума_партии[[#This Row],[Число избирателей, внесенных в список на момент окончания голосования]]</f>
        <v>1998</v>
      </c>
      <c r="K130">
        <v>1500</v>
      </c>
      <c r="L130" s="1"/>
      <c r="M130">
        <v>706</v>
      </c>
      <c r="N130">
        <v>4</v>
      </c>
      <c r="O130" s="3">
        <f t="shared" si="68"/>
        <v>35.535535535535537</v>
      </c>
      <c r="P130" s="3">
        <f t="shared" si="69"/>
        <v>0.20020020020020021</v>
      </c>
      <c r="Q130">
        <v>790</v>
      </c>
      <c r="R130">
        <v>4</v>
      </c>
      <c r="S130">
        <v>706</v>
      </c>
      <c r="T130" s="1">
        <f t="shared" si="70"/>
        <v>710</v>
      </c>
      <c r="U130" s="3">
        <f t="shared" si="71"/>
        <v>0.56338028169014087</v>
      </c>
      <c r="V130">
        <v>66</v>
      </c>
      <c r="W130" s="3">
        <f t="shared" si="72"/>
        <v>9.295774647887324</v>
      </c>
      <c r="X130">
        <v>644</v>
      </c>
      <c r="Y130">
        <v>0</v>
      </c>
      <c r="Z130">
        <v>0</v>
      </c>
      <c r="AA130">
        <v>13</v>
      </c>
      <c r="AB130" s="3">
        <f t="shared" si="73"/>
        <v>1.8309859154929577</v>
      </c>
      <c r="AC130">
        <v>44</v>
      </c>
      <c r="AD130" s="3">
        <f t="shared" si="74"/>
        <v>6.197183098591549</v>
      </c>
      <c r="AE130">
        <v>86</v>
      </c>
      <c r="AF130" s="3">
        <f t="shared" si="75"/>
        <v>12.112676056338028</v>
      </c>
      <c r="AG130">
        <v>42</v>
      </c>
      <c r="AH130" s="3">
        <f t="shared" si="76"/>
        <v>5.915492957746479</v>
      </c>
      <c r="AI130">
        <v>155</v>
      </c>
      <c r="AJ130" s="3">
        <f t="shared" si="77"/>
        <v>21.830985915492956</v>
      </c>
      <c r="AK130">
        <v>144</v>
      </c>
      <c r="AL130" s="3">
        <f t="shared" si="78"/>
        <v>20.281690140845072</v>
      </c>
      <c r="AM130">
        <v>18</v>
      </c>
      <c r="AN130" s="3">
        <f t="shared" si="79"/>
        <v>2.535211267605634</v>
      </c>
      <c r="AO130">
        <v>34</v>
      </c>
      <c r="AP130" s="3">
        <f t="shared" si="80"/>
        <v>4.788732394366197</v>
      </c>
      <c r="AQ130">
        <v>32</v>
      </c>
      <c r="AR130" s="3">
        <f t="shared" si="81"/>
        <v>4.507042253521127</v>
      </c>
      <c r="AS130">
        <v>76</v>
      </c>
      <c r="AT130" s="3">
        <f t="shared" si="82"/>
        <v>10.704225352112676</v>
      </c>
      <c r="AU130" t="s">
        <v>370</v>
      </c>
      <c r="AV130" s="72">
        <f>Дума_партии[[#This Row],[КОИБ]]</f>
        <v>2017</v>
      </c>
      <c r="AW130" s="1" t="str">
        <f>IF(Дума_партии[[#This Row],[Наблюдателей]]=0,"",Дума_партии[[#This Row],[Наблюдателей]])</f>
        <v/>
      </c>
      <c r="AX130"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-40.931506849315099</v>
      </c>
      <c r="AY130" s="10">
        <f>2*(Мособлдума_партии[[#This Row],[6. Всероссийская политическая партия "ЕДИНАЯ РОССИЯ"]]-(AB$203/100)*Мособлдума_партии[[#This Row],[Число действительных бюллетеней]])</f>
        <v>-59.760000000000048</v>
      </c>
      <c r="AZ130" s="10">
        <f>(Мособлдума_партии[[#This Row],[Вброс]]+Мособлдума_партии[[#This Row],[Перекладывание]])/2</f>
        <v>-50.345753424657573</v>
      </c>
    </row>
    <row r="131" spans="2:52" x14ac:dyDescent="0.4">
      <c r="B131" t="s">
        <v>74</v>
      </c>
      <c r="C131" t="s">
        <v>366</v>
      </c>
      <c r="D131" t="s">
        <v>227</v>
      </c>
      <c r="E131" t="s">
        <v>259</v>
      </c>
      <c r="F131" s="8">
        <f t="shared" ca="1" si="67"/>
        <v>1996</v>
      </c>
      <c r="G131" s="8" t="str">
        <f>Дума_партии[[#This Row],[Местоположение]]</f>
        <v>Одинцово</v>
      </c>
      <c r="H131" s="2" t="str">
        <f>LEFT(Мособлдума_партии[[#This Row],[tik]],4)&amp;"."&amp;IF(ISNUMBER(VALUE(RIGHT(Мособлдума_партии[[#This Row],[tik]]))),RIGHT(Мособлдума_партии[[#This Row],[tik]]),"")</f>
        <v>Один.2</v>
      </c>
      <c r="I131">
        <v>1307</v>
      </c>
      <c r="J131" s="8">
        <f>Мособлдума_партии[[#This Row],[Число избирателей, внесенных в список на момент окончания голосования]]</f>
        <v>1307</v>
      </c>
      <c r="K131">
        <v>1100</v>
      </c>
      <c r="L131" s="1"/>
      <c r="M131">
        <v>531</v>
      </c>
      <c r="N131">
        <v>5</v>
      </c>
      <c r="O131" s="3">
        <f t="shared" si="68"/>
        <v>41.009946442234124</v>
      </c>
      <c r="P131" s="3">
        <f t="shared" si="69"/>
        <v>0.38255547054322875</v>
      </c>
      <c r="Q131">
        <v>564</v>
      </c>
      <c r="R131">
        <v>5</v>
      </c>
      <c r="S131">
        <v>531</v>
      </c>
      <c r="T131" s="1">
        <f t="shared" si="70"/>
        <v>536</v>
      </c>
      <c r="U131" s="3">
        <f t="shared" si="71"/>
        <v>0.93283582089552242</v>
      </c>
      <c r="V131">
        <v>27</v>
      </c>
      <c r="W131" s="3">
        <f t="shared" si="72"/>
        <v>5.0373134328358207</v>
      </c>
      <c r="X131">
        <v>509</v>
      </c>
      <c r="Y131">
        <v>0</v>
      </c>
      <c r="Z131">
        <v>0</v>
      </c>
      <c r="AA131">
        <v>14</v>
      </c>
      <c r="AB131" s="3">
        <f t="shared" si="73"/>
        <v>2.6119402985074629</v>
      </c>
      <c r="AC131">
        <v>47</v>
      </c>
      <c r="AD131" s="3">
        <f t="shared" si="74"/>
        <v>8.7686567164179099</v>
      </c>
      <c r="AE131">
        <v>38</v>
      </c>
      <c r="AF131" s="3">
        <f t="shared" si="75"/>
        <v>7.08955223880597</v>
      </c>
      <c r="AG131">
        <v>43</v>
      </c>
      <c r="AH131" s="3">
        <f t="shared" si="76"/>
        <v>8.0223880597014929</v>
      </c>
      <c r="AI131">
        <v>135</v>
      </c>
      <c r="AJ131" s="3">
        <f t="shared" si="77"/>
        <v>25.186567164179106</v>
      </c>
      <c r="AK131">
        <v>132</v>
      </c>
      <c r="AL131" s="3">
        <f t="shared" si="78"/>
        <v>24.626865671641792</v>
      </c>
      <c r="AM131">
        <v>15</v>
      </c>
      <c r="AN131" s="3">
        <f t="shared" si="79"/>
        <v>2.7985074626865671</v>
      </c>
      <c r="AO131">
        <v>17</v>
      </c>
      <c r="AP131" s="3">
        <f t="shared" si="80"/>
        <v>3.1716417910447761</v>
      </c>
      <c r="AQ131">
        <v>12</v>
      </c>
      <c r="AR131" s="3">
        <f t="shared" si="81"/>
        <v>2.2388059701492535</v>
      </c>
      <c r="AS131">
        <v>56</v>
      </c>
      <c r="AT131" s="3">
        <f t="shared" si="82"/>
        <v>10.447761194029852</v>
      </c>
      <c r="AU131" t="s">
        <v>370</v>
      </c>
      <c r="AV131" s="72">
        <f>Дума_партии[[#This Row],[КОИБ]]</f>
        <v>2017</v>
      </c>
      <c r="AW131" s="1">
        <f>IF(Дума_партии[[#This Row],[Наблюдателей]]=0,"",Дума_партии[[#This Row],[Наблюдателей]])</f>
        <v>1</v>
      </c>
      <c r="AX131"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-7.4383561643835776</v>
      </c>
      <c r="AY131" s="10">
        <f>2*(Мособлдума_партии[[#This Row],[6. Всероссийская политическая партия "ЕДИНАЯ РОССИЯ"]]-(AB$203/100)*Мособлдума_партии[[#This Row],[Число действительных бюллетеней]])</f>
        <v>-10.860000000000014</v>
      </c>
      <c r="AZ131" s="10">
        <f>(Мособлдума_партии[[#This Row],[Вброс]]+Мособлдума_партии[[#This Row],[Перекладывание]])/2</f>
        <v>-9.1491780821917956</v>
      </c>
    </row>
    <row r="132" spans="2:52" x14ac:dyDescent="0.4">
      <c r="B132" t="s">
        <v>74</v>
      </c>
      <c r="C132" t="s">
        <v>366</v>
      </c>
      <c r="D132" t="s">
        <v>227</v>
      </c>
      <c r="E132" t="s">
        <v>260</v>
      </c>
      <c r="F132" s="8">
        <f t="shared" ca="1" si="67"/>
        <v>1997</v>
      </c>
      <c r="G132" s="8" t="str">
        <f>Дума_партии[[#This Row],[Местоположение]]</f>
        <v>Одинцово</v>
      </c>
      <c r="H132" s="2" t="str">
        <f>LEFT(Мособлдума_партии[[#This Row],[tik]],4)&amp;"."&amp;IF(ISNUMBER(VALUE(RIGHT(Мособлдума_партии[[#This Row],[tik]]))),RIGHT(Мособлдума_партии[[#This Row],[tik]]),"")</f>
        <v>Один.2</v>
      </c>
      <c r="I132">
        <v>1453</v>
      </c>
      <c r="J132" s="8">
        <f>Мособлдума_партии[[#This Row],[Число избирателей, внесенных в список на момент окончания голосования]]</f>
        <v>1453</v>
      </c>
      <c r="K132">
        <v>1100</v>
      </c>
      <c r="L132" s="1"/>
      <c r="M132">
        <v>1016</v>
      </c>
      <c r="N132">
        <v>4</v>
      </c>
      <c r="O132" s="3">
        <f t="shared" si="68"/>
        <v>70.199587061252586</v>
      </c>
      <c r="P132" s="3">
        <f t="shared" si="69"/>
        <v>0.27529249827942187</v>
      </c>
      <c r="Q132">
        <v>80</v>
      </c>
      <c r="R132">
        <v>4</v>
      </c>
      <c r="S132">
        <v>408</v>
      </c>
      <c r="T132" s="1">
        <f t="shared" si="70"/>
        <v>412</v>
      </c>
      <c r="U132" s="3">
        <f t="shared" si="71"/>
        <v>0.970873786407767</v>
      </c>
      <c r="V132">
        <v>16</v>
      </c>
      <c r="W132" s="3">
        <f t="shared" si="72"/>
        <v>3.883495145631068</v>
      </c>
      <c r="X132">
        <v>396</v>
      </c>
      <c r="Y132">
        <v>0</v>
      </c>
      <c r="Z132">
        <v>0</v>
      </c>
      <c r="AA132">
        <v>8</v>
      </c>
      <c r="AB132" s="3">
        <f t="shared" si="73"/>
        <v>1.941747572815534</v>
      </c>
      <c r="AC132">
        <v>33</v>
      </c>
      <c r="AD132" s="3">
        <f t="shared" si="74"/>
        <v>8.0097087378640772</v>
      </c>
      <c r="AE132">
        <v>48</v>
      </c>
      <c r="AF132" s="3">
        <f t="shared" si="75"/>
        <v>11.650485436893204</v>
      </c>
      <c r="AG132">
        <v>26</v>
      </c>
      <c r="AH132" s="3">
        <f t="shared" si="76"/>
        <v>6.3106796116504853</v>
      </c>
      <c r="AI132">
        <v>110</v>
      </c>
      <c r="AJ132" s="3">
        <f t="shared" si="77"/>
        <v>26.699029126213592</v>
      </c>
      <c r="AK132">
        <v>87</v>
      </c>
      <c r="AL132" s="3">
        <f t="shared" si="78"/>
        <v>21.116504854368934</v>
      </c>
      <c r="AM132">
        <v>15</v>
      </c>
      <c r="AN132" s="3">
        <f t="shared" si="79"/>
        <v>3.6407766990291264</v>
      </c>
      <c r="AO132">
        <v>18</v>
      </c>
      <c r="AP132" s="3">
        <f t="shared" si="80"/>
        <v>4.3689320388349513</v>
      </c>
      <c r="AQ132">
        <v>14</v>
      </c>
      <c r="AR132" s="3">
        <f t="shared" si="81"/>
        <v>3.3980582524271843</v>
      </c>
      <c r="AS132">
        <v>37</v>
      </c>
      <c r="AT132" s="3">
        <f t="shared" si="82"/>
        <v>8.9805825242718438</v>
      </c>
      <c r="AU132" t="s">
        <v>370</v>
      </c>
      <c r="AV132" s="72">
        <f>Дума_партии[[#This Row],[КОИБ]]</f>
        <v>2017</v>
      </c>
      <c r="AW132" s="1" t="str">
        <f>IF(Дума_партии[[#This Row],[Наблюдателей]]=0,"",Дума_партии[[#This Row],[Наблюдателей]])</f>
        <v/>
      </c>
      <c r="AX132"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-27.287671232876718</v>
      </c>
      <c r="AY132" s="10">
        <f>2*(Мособлдума_партии[[#This Row],[6. Всероссийская политическая партия "ЕДИНАЯ РОССИЯ"]]-(AB$203/100)*Мособлдума_партии[[#This Row],[Число действительных бюллетеней]])</f>
        <v>-39.840000000000003</v>
      </c>
      <c r="AZ132" s="10">
        <f>(Мособлдума_партии[[#This Row],[Вброс]]+Мособлдума_партии[[#This Row],[Перекладывание]])/2</f>
        <v>-33.563835616438361</v>
      </c>
    </row>
    <row r="133" spans="2:52" x14ac:dyDescent="0.4">
      <c r="B133" t="s">
        <v>74</v>
      </c>
      <c r="C133" t="s">
        <v>366</v>
      </c>
      <c r="D133" t="s">
        <v>227</v>
      </c>
      <c r="E133" t="s">
        <v>261</v>
      </c>
      <c r="F133" s="8">
        <f t="shared" ca="1" si="67"/>
        <v>1998</v>
      </c>
      <c r="G133" s="8" t="str">
        <f>Дума_партии[[#This Row],[Местоположение]]</f>
        <v>Одинцово</v>
      </c>
      <c r="H133" s="2" t="str">
        <f>LEFT(Мособлдума_партии[[#This Row],[tik]],4)&amp;"."&amp;IF(ISNUMBER(VALUE(RIGHT(Мособлдума_партии[[#This Row],[tik]]))),RIGHT(Мособлдума_партии[[#This Row],[tik]]),"")</f>
        <v>Один.2</v>
      </c>
      <c r="I133">
        <v>1520</v>
      </c>
      <c r="J133" s="8">
        <f>Мособлдума_партии[[#This Row],[Число избирателей, внесенных в список на момент окончания голосования]]</f>
        <v>1520</v>
      </c>
      <c r="K133">
        <v>1200</v>
      </c>
      <c r="L133" s="1"/>
      <c r="M133">
        <v>480</v>
      </c>
      <c r="N133">
        <v>1</v>
      </c>
      <c r="O133" s="3">
        <f t="shared" si="68"/>
        <v>31.644736842105264</v>
      </c>
      <c r="P133" s="3">
        <f t="shared" si="69"/>
        <v>6.5789473684210523E-2</v>
      </c>
      <c r="Q133">
        <v>719</v>
      </c>
      <c r="R133">
        <v>1</v>
      </c>
      <c r="S133">
        <v>480</v>
      </c>
      <c r="T133" s="1">
        <f t="shared" si="70"/>
        <v>481</v>
      </c>
      <c r="U133" s="3">
        <f t="shared" si="71"/>
        <v>0.20790020790020791</v>
      </c>
      <c r="V133">
        <v>16</v>
      </c>
      <c r="W133" s="3">
        <f t="shared" si="72"/>
        <v>3.3264033264033266</v>
      </c>
      <c r="X133">
        <v>465</v>
      </c>
      <c r="Y133">
        <v>0</v>
      </c>
      <c r="Z133">
        <v>0</v>
      </c>
      <c r="AA133">
        <v>7</v>
      </c>
      <c r="AB133" s="3">
        <f t="shared" si="73"/>
        <v>1.4553014553014554</v>
      </c>
      <c r="AC133">
        <v>36</v>
      </c>
      <c r="AD133" s="3">
        <f t="shared" si="74"/>
        <v>7.4844074844074848</v>
      </c>
      <c r="AE133">
        <v>38</v>
      </c>
      <c r="AF133" s="3">
        <f t="shared" si="75"/>
        <v>7.9002079002079002</v>
      </c>
      <c r="AG133">
        <v>20</v>
      </c>
      <c r="AH133" s="3">
        <f t="shared" si="76"/>
        <v>4.1580041580041582</v>
      </c>
      <c r="AI133">
        <v>134</v>
      </c>
      <c r="AJ133" s="3">
        <f t="shared" si="77"/>
        <v>27.858627858627859</v>
      </c>
      <c r="AK133">
        <v>104</v>
      </c>
      <c r="AL133" s="3">
        <f t="shared" si="78"/>
        <v>21.621621621621621</v>
      </c>
      <c r="AM133">
        <v>16</v>
      </c>
      <c r="AN133" s="3">
        <f t="shared" si="79"/>
        <v>3.3264033264033266</v>
      </c>
      <c r="AO133">
        <v>31</v>
      </c>
      <c r="AP133" s="3">
        <f t="shared" si="80"/>
        <v>6.4449064449064446</v>
      </c>
      <c r="AQ133">
        <v>20</v>
      </c>
      <c r="AR133" s="3">
        <f t="shared" si="81"/>
        <v>4.1580041580041582</v>
      </c>
      <c r="AS133">
        <v>59</v>
      </c>
      <c r="AT133" s="3">
        <f t="shared" si="82"/>
        <v>12.266112266112266</v>
      </c>
      <c r="AU133" t="s">
        <v>370</v>
      </c>
      <c r="AV133" s="72">
        <f>Дума_партии[[#This Row],[КОИБ]]</f>
        <v>2017</v>
      </c>
      <c r="AW133" s="1" t="str">
        <f>IF(Дума_партии[[#This Row],[Наблюдателей]]=0,"",Дума_партии[[#This Row],[Наблюдателей]])</f>
        <v/>
      </c>
      <c r="AX133"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-29.520547945205493</v>
      </c>
      <c r="AY133" s="10">
        <f>2*(Мособлдума_партии[[#This Row],[6. Всероссийская политическая партия "ЕДИНАЯ РОССИЯ"]]-(AB$203/100)*Мособлдума_партии[[#This Row],[Число действительных бюллетеней]])</f>
        <v>-43.100000000000023</v>
      </c>
      <c r="AZ133" s="10">
        <f>(Мособлдума_партии[[#This Row],[Вброс]]+Мособлдума_партии[[#This Row],[Перекладывание]])/2</f>
        <v>-36.310273972602758</v>
      </c>
    </row>
    <row r="134" spans="2:52" x14ac:dyDescent="0.4">
      <c r="B134" t="s">
        <v>74</v>
      </c>
      <c r="C134" t="s">
        <v>366</v>
      </c>
      <c r="D134" t="s">
        <v>227</v>
      </c>
      <c r="E134" t="s">
        <v>262</v>
      </c>
      <c r="F134" s="8">
        <f t="shared" ca="1" si="67"/>
        <v>1999</v>
      </c>
      <c r="G134" s="8" t="str">
        <f>Дума_партии[[#This Row],[Местоположение]]</f>
        <v>Одинцово</v>
      </c>
      <c r="H134" s="2" t="str">
        <f>LEFT(Мособлдума_партии[[#This Row],[tik]],4)&amp;"."&amp;IF(ISNUMBER(VALUE(RIGHT(Мособлдума_партии[[#This Row],[tik]]))),RIGHT(Мособлдума_партии[[#This Row],[tik]]),"")</f>
        <v>Один.2</v>
      </c>
      <c r="I134">
        <v>1462</v>
      </c>
      <c r="J134" s="8">
        <f>Мособлдума_партии[[#This Row],[Число избирателей, внесенных в список на момент окончания голосования]]</f>
        <v>1462</v>
      </c>
      <c r="K134">
        <v>1200</v>
      </c>
      <c r="L134" s="1"/>
      <c r="M134">
        <v>486</v>
      </c>
      <c r="N134">
        <v>7</v>
      </c>
      <c r="O134" s="3">
        <f t="shared" si="68"/>
        <v>33.720930232558139</v>
      </c>
      <c r="P134" s="3">
        <f t="shared" si="69"/>
        <v>0.47879616963064298</v>
      </c>
      <c r="Q134">
        <v>707</v>
      </c>
      <c r="R134">
        <v>7</v>
      </c>
      <c r="S134">
        <v>486</v>
      </c>
      <c r="T134" s="1">
        <f t="shared" si="70"/>
        <v>493</v>
      </c>
      <c r="U134" s="3">
        <f t="shared" si="71"/>
        <v>1.4198782961460445</v>
      </c>
      <c r="V134">
        <v>17</v>
      </c>
      <c r="W134" s="3">
        <f t="shared" si="72"/>
        <v>3.4482758620689653</v>
      </c>
      <c r="X134">
        <v>476</v>
      </c>
      <c r="Y134">
        <v>0</v>
      </c>
      <c r="Z134">
        <v>0</v>
      </c>
      <c r="AA134">
        <v>9</v>
      </c>
      <c r="AB134" s="3">
        <f t="shared" si="73"/>
        <v>1.8255578093306288</v>
      </c>
      <c r="AC134">
        <v>33</v>
      </c>
      <c r="AD134" s="3">
        <f t="shared" si="74"/>
        <v>6.6937119675456387</v>
      </c>
      <c r="AE134">
        <v>62</v>
      </c>
      <c r="AF134" s="3">
        <f t="shared" si="75"/>
        <v>12.57606490872211</v>
      </c>
      <c r="AG134">
        <v>30</v>
      </c>
      <c r="AH134" s="3">
        <f t="shared" si="76"/>
        <v>6.0851926977687629</v>
      </c>
      <c r="AI134">
        <v>145</v>
      </c>
      <c r="AJ134" s="3">
        <f t="shared" si="77"/>
        <v>29.411764705882351</v>
      </c>
      <c r="AK134">
        <v>94</v>
      </c>
      <c r="AL134" s="3">
        <f t="shared" si="78"/>
        <v>19.066937119675455</v>
      </c>
      <c r="AM134">
        <v>17</v>
      </c>
      <c r="AN134" s="3">
        <f t="shared" si="79"/>
        <v>3.4482758620689653</v>
      </c>
      <c r="AO134">
        <v>19</v>
      </c>
      <c r="AP134" s="3">
        <f t="shared" si="80"/>
        <v>3.8539553752535496</v>
      </c>
      <c r="AQ134">
        <v>23</v>
      </c>
      <c r="AR134" s="3">
        <f t="shared" si="81"/>
        <v>4.6653144016227177</v>
      </c>
      <c r="AS134">
        <v>44</v>
      </c>
      <c r="AT134" s="3">
        <f t="shared" si="82"/>
        <v>8.9249492900608516</v>
      </c>
      <c r="AU134" t="s">
        <v>370</v>
      </c>
      <c r="AV134" s="72">
        <f>Дума_партии[[#This Row],[КОИБ]]</f>
        <v>2017</v>
      </c>
      <c r="AW134" s="1" t="str">
        <f>IF(Дума_партии[[#This Row],[Наблюдателей]]=0,"",Дума_партии[[#This Row],[Наблюдателей]])</f>
        <v/>
      </c>
      <c r="AX134"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-47.287671232876733</v>
      </c>
      <c r="AY134" s="10">
        <f>2*(Мособлдума_партии[[#This Row],[6. Всероссийская политическая партия "ЕДИНАЯ РОССИЯ"]]-(AB$203/100)*Мособлдума_партии[[#This Row],[Число действительных бюллетеней]])</f>
        <v>-69.04000000000002</v>
      </c>
      <c r="AZ134" s="10">
        <f>(Мособлдума_партии[[#This Row],[Вброс]]+Мособлдума_партии[[#This Row],[Перекладывание]])/2</f>
        <v>-58.163835616438377</v>
      </c>
    </row>
    <row r="135" spans="2:52" x14ac:dyDescent="0.4">
      <c r="B135" t="s">
        <v>74</v>
      </c>
      <c r="C135" t="s">
        <v>366</v>
      </c>
      <c r="D135" t="s">
        <v>227</v>
      </c>
      <c r="E135" t="s">
        <v>263</v>
      </c>
      <c r="F135" s="8">
        <f t="shared" ca="1" si="67"/>
        <v>2000</v>
      </c>
      <c r="G135" s="8" t="str">
        <f>Дума_партии[[#This Row],[Местоположение]]</f>
        <v>Одинцово</v>
      </c>
      <c r="H135" s="2" t="str">
        <f>LEFT(Мособлдума_партии[[#This Row],[tik]],4)&amp;"."&amp;IF(ISNUMBER(VALUE(RIGHT(Мособлдума_партии[[#This Row],[tik]]))),RIGHT(Мособлдума_партии[[#This Row],[tik]]),"")</f>
        <v>Один.2</v>
      </c>
      <c r="I135">
        <v>1433</v>
      </c>
      <c r="J135" s="8">
        <f>Мособлдума_партии[[#This Row],[Число избирателей, внесенных в список на момент окончания голосования]]</f>
        <v>1433</v>
      </c>
      <c r="K135">
        <v>1200</v>
      </c>
      <c r="L135" s="1"/>
      <c r="M135">
        <v>473</v>
      </c>
      <c r="N135">
        <v>9</v>
      </c>
      <c r="O135" s="3">
        <f t="shared" si="68"/>
        <v>33.635729239357993</v>
      </c>
      <c r="P135" s="3">
        <f t="shared" si="69"/>
        <v>0.62805303558967207</v>
      </c>
      <c r="Q135">
        <v>718</v>
      </c>
      <c r="R135">
        <v>9</v>
      </c>
      <c r="S135">
        <v>473</v>
      </c>
      <c r="T135" s="1">
        <f t="shared" si="70"/>
        <v>482</v>
      </c>
      <c r="U135" s="3">
        <f t="shared" si="71"/>
        <v>1.8672199170124482</v>
      </c>
      <c r="V135">
        <v>15</v>
      </c>
      <c r="W135" s="3">
        <f t="shared" si="72"/>
        <v>3.1120331950207469</v>
      </c>
      <c r="X135">
        <v>467</v>
      </c>
      <c r="Y135">
        <v>0</v>
      </c>
      <c r="Z135">
        <v>0</v>
      </c>
      <c r="AA135">
        <v>7</v>
      </c>
      <c r="AB135" s="3">
        <f t="shared" si="73"/>
        <v>1.4522821576763485</v>
      </c>
      <c r="AC135">
        <v>47</v>
      </c>
      <c r="AD135" s="3">
        <f t="shared" si="74"/>
        <v>9.7510373443983411</v>
      </c>
      <c r="AE135">
        <v>36</v>
      </c>
      <c r="AF135" s="3">
        <f t="shared" si="75"/>
        <v>7.4688796680497926</v>
      </c>
      <c r="AG135">
        <v>31</v>
      </c>
      <c r="AH135" s="3">
        <f t="shared" si="76"/>
        <v>6.4315352697095438</v>
      </c>
      <c r="AI135">
        <v>124</v>
      </c>
      <c r="AJ135" s="3">
        <f t="shared" si="77"/>
        <v>25.726141078838175</v>
      </c>
      <c r="AK135">
        <v>136</v>
      </c>
      <c r="AL135" s="3">
        <f t="shared" si="78"/>
        <v>28.215767634854771</v>
      </c>
      <c r="AM135">
        <v>16</v>
      </c>
      <c r="AN135" s="3">
        <f t="shared" si="79"/>
        <v>3.3195020746887969</v>
      </c>
      <c r="AO135">
        <v>13</v>
      </c>
      <c r="AP135" s="3">
        <f t="shared" si="80"/>
        <v>2.6970954356846475</v>
      </c>
      <c r="AQ135">
        <v>20</v>
      </c>
      <c r="AR135" s="3">
        <f t="shared" si="81"/>
        <v>4.1493775933609962</v>
      </c>
      <c r="AS135">
        <v>37</v>
      </c>
      <c r="AT135" s="3">
        <f t="shared" si="82"/>
        <v>7.6763485477178426</v>
      </c>
      <c r="AU135" t="s">
        <v>370</v>
      </c>
      <c r="AV135" s="72">
        <f>Дума_партии[[#This Row],[КОИБ]]</f>
        <v>2017</v>
      </c>
      <c r="AW135" s="1" t="str">
        <f>IF(Дума_партии[[#This Row],[Наблюдателей]]=0,"",Дума_партии[[#This Row],[Наблюдателей]])</f>
        <v/>
      </c>
      <c r="AX135"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13.575342465753408</v>
      </c>
      <c r="AY135" s="10">
        <f>2*(Мособлдума_партии[[#This Row],[6. Всероссийская политическая партия "ЕДИНАЯ РОССИЯ"]]-(AB$203/100)*Мособлдума_партии[[#This Row],[Число действительных бюллетеней]])</f>
        <v>19.819999999999993</v>
      </c>
      <c r="AZ135" s="10">
        <f>(Мособлдума_партии[[#This Row],[Вброс]]+Мособлдума_партии[[#This Row],[Перекладывание]])/2</f>
        <v>16.697671232876701</v>
      </c>
    </row>
    <row r="136" spans="2:52" x14ac:dyDescent="0.4">
      <c r="B136" t="s">
        <v>74</v>
      </c>
      <c r="C136" t="s">
        <v>366</v>
      </c>
      <c r="D136" t="s">
        <v>227</v>
      </c>
      <c r="E136" t="s">
        <v>264</v>
      </c>
      <c r="F136" s="8">
        <f t="shared" ca="1" si="67"/>
        <v>2001</v>
      </c>
      <c r="G136" s="8" t="str">
        <f>Дума_партии[[#This Row],[Местоположение]]</f>
        <v>Одинцово</v>
      </c>
      <c r="H136" s="2" t="str">
        <f>LEFT(Мособлдума_партии[[#This Row],[tik]],4)&amp;"."&amp;IF(ISNUMBER(VALUE(RIGHT(Мособлдума_партии[[#This Row],[tik]]))),RIGHT(Мособлдума_партии[[#This Row],[tik]]),"")</f>
        <v>Один.2</v>
      </c>
      <c r="I136">
        <v>1850</v>
      </c>
      <c r="J136" s="8">
        <f>Мособлдума_партии[[#This Row],[Число избирателей, внесенных в список на момент окончания голосования]]</f>
        <v>1850</v>
      </c>
      <c r="K136">
        <v>1500</v>
      </c>
      <c r="L136" s="1"/>
      <c r="M136">
        <v>524</v>
      </c>
      <c r="N136">
        <v>0</v>
      </c>
      <c r="O136" s="3">
        <f t="shared" si="68"/>
        <v>28.324324324324323</v>
      </c>
      <c r="P136" s="3">
        <f t="shared" si="69"/>
        <v>0</v>
      </c>
      <c r="Q136">
        <v>976</v>
      </c>
      <c r="R136">
        <v>0</v>
      </c>
      <c r="S136">
        <v>524</v>
      </c>
      <c r="T136" s="1">
        <f t="shared" si="70"/>
        <v>524</v>
      </c>
      <c r="U136" s="3">
        <f t="shared" si="71"/>
        <v>0</v>
      </c>
      <c r="V136">
        <v>11</v>
      </c>
      <c r="W136" s="3">
        <f t="shared" si="72"/>
        <v>2.0992366412213741</v>
      </c>
      <c r="X136">
        <v>513</v>
      </c>
      <c r="Y136">
        <v>0</v>
      </c>
      <c r="Z136">
        <v>0</v>
      </c>
      <c r="AA136">
        <v>11</v>
      </c>
      <c r="AB136" s="3">
        <f t="shared" si="73"/>
        <v>2.0992366412213741</v>
      </c>
      <c r="AC136">
        <v>43</v>
      </c>
      <c r="AD136" s="3">
        <f t="shared" si="74"/>
        <v>8.2061068702290072</v>
      </c>
      <c r="AE136">
        <v>60</v>
      </c>
      <c r="AF136" s="3">
        <f t="shared" si="75"/>
        <v>11.450381679389313</v>
      </c>
      <c r="AG136">
        <v>15</v>
      </c>
      <c r="AH136" s="3">
        <f t="shared" si="76"/>
        <v>2.8625954198473282</v>
      </c>
      <c r="AI136">
        <v>158</v>
      </c>
      <c r="AJ136" s="3">
        <f t="shared" si="77"/>
        <v>30.152671755725191</v>
      </c>
      <c r="AK136">
        <v>113</v>
      </c>
      <c r="AL136" s="3">
        <f t="shared" si="78"/>
        <v>21.564885496183205</v>
      </c>
      <c r="AM136">
        <v>14</v>
      </c>
      <c r="AN136" s="3">
        <f t="shared" si="79"/>
        <v>2.6717557251908395</v>
      </c>
      <c r="AO136">
        <v>25</v>
      </c>
      <c r="AP136" s="3">
        <f t="shared" si="80"/>
        <v>4.770992366412214</v>
      </c>
      <c r="AQ136">
        <v>16</v>
      </c>
      <c r="AR136" s="3">
        <f t="shared" si="81"/>
        <v>3.053435114503817</v>
      </c>
      <c r="AS136">
        <v>58</v>
      </c>
      <c r="AT136" s="3">
        <f t="shared" si="82"/>
        <v>11.068702290076336</v>
      </c>
      <c r="AU136" t="s">
        <v>370</v>
      </c>
      <c r="AV136" s="72">
        <f>Дума_партии[[#This Row],[КОИБ]]</f>
        <v>2017</v>
      </c>
      <c r="AW136" s="1" t="str">
        <f>IF(Дума_партии[[#This Row],[Наблюдателей]]=0,"",Дума_партии[[#This Row],[Наблюдателей]])</f>
        <v/>
      </c>
      <c r="AX136"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-34.945205479452056</v>
      </c>
      <c r="AY136" s="10">
        <f>2*(Мособлдума_партии[[#This Row],[6. Всероссийская политическая партия "ЕДИНАЯ РОССИЯ"]]-(AB$203/100)*Мособлдума_партии[[#This Row],[Число действительных бюллетеней]])</f>
        <v>-51.020000000000039</v>
      </c>
      <c r="AZ136" s="10">
        <f>(Мособлдума_партии[[#This Row],[Вброс]]+Мособлдума_партии[[#This Row],[Перекладывание]])/2</f>
        <v>-42.982602739726048</v>
      </c>
    </row>
    <row r="137" spans="2:52" x14ac:dyDescent="0.4">
      <c r="B137" t="s">
        <v>74</v>
      </c>
      <c r="C137" t="s">
        <v>366</v>
      </c>
      <c r="D137" t="s">
        <v>227</v>
      </c>
      <c r="E137" t="s">
        <v>265</v>
      </c>
      <c r="F137" s="8">
        <f t="shared" ca="1" si="67"/>
        <v>2002</v>
      </c>
      <c r="G137" s="8" t="str">
        <f>Дума_партии[[#This Row],[Местоположение]]</f>
        <v>Одинцово</v>
      </c>
      <c r="H137" s="2" t="str">
        <f>LEFT(Мособлдума_партии[[#This Row],[tik]],4)&amp;"."&amp;IF(ISNUMBER(VALUE(RIGHT(Мособлдума_партии[[#This Row],[tik]]))),RIGHT(Мособлдума_партии[[#This Row],[tik]]),"")</f>
        <v>Один.2</v>
      </c>
      <c r="I137">
        <v>2111</v>
      </c>
      <c r="J137" s="8">
        <f>Мособлдума_партии[[#This Row],[Число избирателей, внесенных в список на момент окончания голосования]]</f>
        <v>2111</v>
      </c>
      <c r="K137">
        <v>2000</v>
      </c>
      <c r="L137" s="1"/>
      <c r="M137">
        <v>780</v>
      </c>
      <c r="N137">
        <v>97</v>
      </c>
      <c r="O137" s="3">
        <f t="shared" si="68"/>
        <v>41.544291804831836</v>
      </c>
      <c r="P137" s="3">
        <f t="shared" si="69"/>
        <v>4.5949786830885833</v>
      </c>
      <c r="Q137">
        <v>1123</v>
      </c>
      <c r="R137">
        <v>97</v>
      </c>
      <c r="S137">
        <v>780</v>
      </c>
      <c r="T137" s="1">
        <f t="shared" si="70"/>
        <v>877</v>
      </c>
      <c r="U137" s="3">
        <f t="shared" si="71"/>
        <v>11.060433295324971</v>
      </c>
      <c r="V137">
        <v>30</v>
      </c>
      <c r="W137" s="3">
        <f t="shared" si="72"/>
        <v>3.420752565564424</v>
      </c>
      <c r="X137">
        <v>847</v>
      </c>
      <c r="Y137">
        <v>0</v>
      </c>
      <c r="Z137">
        <v>0</v>
      </c>
      <c r="AA137">
        <v>13</v>
      </c>
      <c r="AB137" s="3">
        <f t="shared" si="73"/>
        <v>1.4823261117445838</v>
      </c>
      <c r="AC137">
        <v>95</v>
      </c>
      <c r="AD137" s="3">
        <f t="shared" si="74"/>
        <v>10.832383124287343</v>
      </c>
      <c r="AE137">
        <v>72</v>
      </c>
      <c r="AF137" s="3">
        <f t="shared" si="75"/>
        <v>8.2098061573546186</v>
      </c>
      <c r="AG137">
        <v>37</v>
      </c>
      <c r="AH137" s="3">
        <f t="shared" si="76"/>
        <v>4.2189281641961234</v>
      </c>
      <c r="AI137">
        <v>171</v>
      </c>
      <c r="AJ137" s="3">
        <f t="shared" si="77"/>
        <v>19.498289623717216</v>
      </c>
      <c r="AK137">
        <v>277</v>
      </c>
      <c r="AL137" s="3">
        <f t="shared" si="78"/>
        <v>31.584948688711517</v>
      </c>
      <c r="AM137">
        <v>28</v>
      </c>
      <c r="AN137" s="3">
        <f t="shared" si="79"/>
        <v>3.1927023945267958</v>
      </c>
      <c r="AO137">
        <v>32</v>
      </c>
      <c r="AP137" s="3">
        <f t="shared" si="80"/>
        <v>3.6488027366020526</v>
      </c>
      <c r="AQ137">
        <v>26</v>
      </c>
      <c r="AR137" s="3">
        <f t="shared" si="81"/>
        <v>2.9646522234891677</v>
      </c>
      <c r="AS137">
        <v>96</v>
      </c>
      <c r="AT137" s="3">
        <f t="shared" si="82"/>
        <v>10.946408209806158</v>
      </c>
      <c r="AU137" t="s">
        <v>370</v>
      </c>
      <c r="AV137" s="72">
        <f>Дума_партии[[#This Row],[КОИБ]]</f>
        <v>2017</v>
      </c>
      <c r="AW137" s="1" t="str">
        <f>IF(Дума_партии[[#This Row],[Наблюдателей]]=0,"",Дума_партии[[#This Row],[Наблюдателей]])</f>
        <v/>
      </c>
      <c r="AX137"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66.178082191780788</v>
      </c>
      <c r="AY137" s="10">
        <f>2*(Мособлдума_партии[[#This Row],[6. Всероссийская политическая партия "ЕДИНАЯ РОССИЯ"]]-(AB$203/100)*Мособлдума_партии[[#This Row],[Число действительных бюллетеней]])</f>
        <v>96.619999999999948</v>
      </c>
      <c r="AZ137" s="10">
        <f>(Мособлдума_партии[[#This Row],[Вброс]]+Мособлдума_партии[[#This Row],[Перекладывание]])/2</f>
        <v>81.399041095890368</v>
      </c>
    </row>
    <row r="138" spans="2:52" x14ac:dyDescent="0.4">
      <c r="B138" t="s">
        <v>74</v>
      </c>
      <c r="C138" t="s">
        <v>366</v>
      </c>
      <c r="D138" t="s">
        <v>227</v>
      </c>
      <c r="E138" t="s">
        <v>266</v>
      </c>
      <c r="F138" s="8">
        <f t="shared" ca="1" si="67"/>
        <v>2004</v>
      </c>
      <c r="G138" s="8" t="str">
        <f>Дума_партии[[#This Row],[Местоположение]]</f>
        <v>Одинцово</v>
      </c>
      <c r="H138" s="2" t="str">
        <f>LEFT(Мособлдума_партии[[#This Row],[tik]],4)&amp;"."&amp;IF(ISNUMBER(VALUE(RIGHT(Мособлдума_партии[[#This Row],[tik]]))),RIGHT(Мособлдума_партии[[#This Row],[tik]]),"")</f>
        <v>Один.2</v>
      </c>
      <c r="I138">
        <v>1035</v>
      </c>
      <c r="J138" s="8">
        <f>Мособлдума_партии[[#This Row],[Число избирателей, внесенных в список на момент окончания голосования]]</f>
        <v>1035</v>
      </c>
      <c r="K138">
        <v>900</v>
      </c>
      <c r="L138" s="1"/>
      <c r="M138">
        <v>339</v>
      </c>
      <c r="N138">
        <v>226</v>
      </c>
      <c r="O138" s="3">
        <f t="shared" si="68"/>
        <v>54.589371980676326</v>
      </c>
      <c r="P138" s="3">
        <f t="shared" si="69"/>
        <v>21.835748792270532</v>
      </c>
      <c r="Q138">
        <v>335</v>
      </c>
      <c r="R138">
        <v>226</v>
      </c>
      <c r="S138">
        <v>339</v>
      </c>
      <c r="T138" s="1">
        <f t="shared" si="70"/>
        <v>565</v>
      </c>
      <c r="U138" s="3">
        <f t="shared" si="71"/>
        <v>40</v>
      </c>
      <c r="V138">
        <v>31</v>
      </c>
      <c r="W138" s="3">
        <f t="shared" si="72"/>
        <v>5.4867256637168138</v>
      </c>
      <c r="X138">
        <v>534</v>
      </c>
      <c r="Y138">
        <v>0</v>
      </c>
      <c r="Z138">
        <v>0</v>
      </c>
      <c r="AA138">
        <v>6</v>
      </c>
      <c r="AB138" s="3">
        <f t="shared" si="73"/>
        <v>1.0619469026548674</v>
      </c>
      <c r="AC138">
        <v>47</v>
      </c>
      <c r="AD138" s="3">
        <f t="shared" si="74"/>
        <v>8.3185840707964598</v>
      </c>
      <c r="AE138">
        <v>30</v>
      </c>
      <c r="AF138" s="3">
        <f t="shared" si="75"/>
        <v>5.3097345132743365</v>
      </c>
      <c r="AG138">
        <v>21</v>
      </c>
      <c r="AH138" s="3">
        <f t="shared" si="76"/>
        <v>3.7168141592920354</v>
      </c>
      <c r="AI138">
        <v>111</v>
      </c>
      <c r="AJ138" s="3">
        <f t="shared" si="77"/>
        <v>19.646017699115045</v>
      </c>
      <c r="AK138">
        <v>222</v>
      </c>
      <c r="AL138" s="3">
        <f t="shared" si="78"/>
        <v>39.292035398230091</v>
      </c>
      <c r="AM138">
        <v>15</v>
      </c>
      <c r="AN138" s="3">
        <f t="shared" si="79"/>
        <v>2.6548672566371683</v>
      </c>
      <c r="AO138">
        <v>10</v>
      </c>
      <c r="AP138" s="3">
        <f t="shared" si="80"/>
        <v>1.7699115044247788</v>
      </c>
      <c r="AQ138">
        <v>19</v>
      </c>
      <c r="AR138" s="3">
        <f t="shared" si="81"/>
        <v>3.3628318584070795</v>
      </c>
      <c r="AS138">
        <v>53</v>
      </c>
      <c r="AT138" s="3">
        <f t="shared" si="82"/>
        <v>9.3805309734513269</v>
      </c>
      <c r="AU138" t="s">
        <v>370</v>
      </c>
      <c r="AV138" s="72">
        <f>Дума_партии[[#This Row],[КОИБ]]</f>
        <v>2017</v>
      </c>
      <c r="AW138" s="1" t="str">
        <f>IF(Дума_партии[[#This Row],[Наблюдателей]]=0,"",Дума_партии[[#This Row],[Наблюдателей]])</f>
        <v/>
      </c>
      <c r="AX138"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106.60273972602738</v>
      </c>
      <c r="AY138" s="10">
        <f>2*(Мособлдума_партии[[#This Row],[6. Всероссийская политическая партия "ЕДИНАЯ РОССИЯ"]]-(AB$203/100)*Мособлдума_партии[[#This Row],[Число действительных бюллетеней]])</f>
        <v>155.63999999999999</v>
      </c>
      <c r="AZ138" s="10">
        <f>(Мособлдума_партии[[#This Row],[Вброс]]+Мособлдума_партии[[#This Row],[Перекладывание]])/2</f>
        <v>131.12136986301368</v>
      </c>
    </row>
    <row r="139" spans="2:52" x14ac:dyDescent="0.4">
      <c r="B139" t="s">
        <v>74</v>
      </c>
      <c r="C139" t="s">
        <v>366</v>
      </c>
      <c r="D139" t="s">
        <v>227</v>
      </c>
      <c r="E139" t="s">
        <v>267</v>
      </c>
      <c r="F139" s="8">
        <f t="shared" ca="1" si="67"/>
        <v>2005</v>
      </c>
      <c r="G139" s="8" t="str">
        <f>Дума_партии[[#This Row],[Местоположение]]</f>
        <v>Одинцово</v>
      </c>
      <c r="H139" s="2" t="str">
        <f>LEFT(Мособлдума_партии[[#This Row],[tik]],4)&amp;"."&amp;IF(ISNUMBER(VALUE(RIGHT(Мособлдума_партии[[#This Row],[tik]]))),RIGHT(Мособлдума_партии[[#This Row],[tik]]),"")</f>
        <v>Один.2</v>
      </c>
      <c r="I139">
        <v>1915</v>
      </c>
      <c r="J139" s="8">
        <f>Мособлдума_партии[[#This Row],[Число избирателей, внесенных в список на момент окончания голосования]]</f>
        <v>1915</v>
      </c>
      <c r="K139">
        <v>1500</v>
      </c>
      <c r="L139" s="1"/>
      <c r="M139">
        <v>564</v>
      </c>
      <c r="N139">
        <v>401</v>
      </c>
      <c r="O139" s="3">
        <f t="shared" si="68"/>
        <v>50.391644908616186</v>
      </c>
      <c r="P139" s="3">
        <f t="shared" si="69"/>
        <v>20.93994778067885</v>
      </c>
      <c r="Q139">
        <v>535</v>
      </c>
      <c r="R139">
        <v>401</v>
      </c>
      <c r="S139">
        <v>563</v>
      </c>
      <c r="T139" s="1">
        <f t="shared" si="70"/>
        <v>964</v>
      </c>
      <c r="U139" s="3">
        <f t="shared" si="71"/>
        <v>41.597510373443981</v>
      </c>
      <c r="V139">
        <v>20</v>
      </c>
      <c r="W139" s="3">
        <f t="shared" si="72"/>
        <v>2.0746887966804981</v>
      </c>
      <c r="X139">
        <v>944</v>
      </c>
      <c r="Y139">
        <v>0</v>
      </c>
      <c r="Z139">
        <v>0</v>
      </c>
      <c r="AA139">
        <v>9</v>
      </c>
      <c r="AB139" s="3">
        <f t="shared" si="73"/>
        <v>0.93360995850622408</v>
      </c>
      <c r="AC139">
        <v>71</v>
      </c>
      <c r="AD139" s="3">
        <f t="shared" si="74"/>
        <v>7.3651452282157672</v>
      </c>
      <c r="AE139">
        <v>51</v>
      </c>
      <c r="AF139" s="3">
        <f t="shared" si="75"/>
        <v>5.2904564315352696</v>
      </c>
      <c r="AG139">
        <v>27</v>
      </c>
      <c r="AH139" s="3">
        <f t="shared" si="76"/>
        <v>2.800829875518672</v>
      </c>
      <c r="AI139">
        <v>147</v>
      </c>
      <c r="AJ139" s="3">
        <f t="shared" si="77"/>
        <v>15.248962655601659</v>
      </c>
      <c r="AK139">
        <v>526</v>
      </c>
      <c r="AL139" s="3">
        <f t="shared" si="78"/>
        <v>54.564315352697093</v>
      </c>
      <c r="AM139">
        <v>12</v>
      </c>
      <c r="AN139" s="3">
        <f t="shared" si="79"/>
        <v>1.2448132780082988</v>
      </c>
      <c r="AO139">
        <v>15</v>
      </c>
      <c r="AP139" s="3">
        <f t="shared" si="80"/>
        <v>1.5560165975103735</v>
      </c>
      <c r="AQ139">
        <v>19</v>
      </c>
      <c r="AR139" s="3">
        <f t="shared" si="81"/>
        <v>1.9709543568464731</v>
      </c>
      <c r="AS139">
        <v>67</v>
      </c>
      <c r="AT139" s="3">
        <f t="shared" si="82"/>
        <v>6.9502074688796682</v>
      </c>
      <c r="AU139" t="s">
        <v>370</v>
      </c>
      <c r="AV139" s="72">
        <f>Дума_партии[[#This Row],[КОИБ]]</f>
        <v>2017</v>
      </c>
      <c r="AW139" s="1" t="str">
        <f>IF(Дума_партии[[#This Row],[Наблюдателей]]=0,"",Дума_партии[[#This Row],[Наблюдателей]])</f>
        <v/>
      </c>
      <c r="AX139"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371.39726027397262</v>
      </c>
      <c r="AY139" s="10">
        <f>2*(Мособлдума_партии[[#This Row],[6. Всероссийская политическая партия "ЕДИНАЯ РОССИЯ"]]-(AB$203/100)*Мособлдума_партии[[#This Row],[Число действительных бюллетеней]])</f>
        <v>542.24</v>
      </c>
      <c r="AZ139" s="10">
        <f>(Мособлдума_партии[[#This Row],[Вброс]]+Мособлдума_партии[[#This Row],[Перекладывание]])/2</f>
        <v>456.81863013698631</v>
      </c>
    </row>
    <row r="140" spans="2:52" x14ac:dyDescent="0.4">
      <c r="B140" t="s">
        <v>74</v>
      </c>
      <c r="C140" t="s">
        <v>366</v>
      </c>
      <c r="D140" t="s">
        <v>227</v>
      </c>
      <c r="E140" t="s">
        <v>268</v>
      </c>
      <c r="F140" s="8">
        <f t="shared" ca="1" si="67"/>
        <v>2008</v>
      </c>
      <c r="G140" s="8" t="str">
        <f>Дума_партии[[#This Row],[Местоположение]]</f>
        <v>Одинцово</v>
      </c>
      <c r="H140" s="2" t="str">
        <f>LEFT(Мособлдума_партии[[#This Row],[tik]],4)&amp;"."&amp;IF(ISNUMBER(VALUE(RIGHT(Мособлдума_партии[[#This Row],[tik]]))),RIGHT(Мособлдума_партии[[#This Row],[tik]]),"")</f>
        <v>Один.2</v>
      </c>
      <c r="I140">
        <v>2290</v>
      </c>
      <c r="J140" s="8">
        <f>Мособлдума_партии[[#This Row],[Число избирателей, внесенных в список на момент окончания голосования]]</f>
        <v>2290</v>
      </c>
      <c r="K140">
        <v>2000</v>
      </c>
      <c r="L140" s="1"/>
      <c r="M140">
        <v>751</v>
      </c>
      <c r="N140">
        <v>59</v>
      </c>
      <c r="O140" s="3">
        <f t="shared" si="68"/>
        <v>35.37117903930131</v>
      </c>
      <c r="P140" s="3">
        <f t="shared" si="69"/>
        <v>2.5764192139737991</v>
      </c>
      <c r="Q140">
        <v>1190</v>
      </c>
      <c r="R140">
        <v>59</v>
      </c>
      <c r="S140">
        <v>711</v>
      </c>
      <c r="T140" s="1">
        <f t="shared" si="70"/>
        <v>770</v>
      </c>
      <c r="U140" s="3">
        <f t="shared" si="71"/>
        <v>7.662337662337662</v>
      </c>
      <c r="V140">
        <v>39</v>
      </c>
      <c r="W140" s="3">
        <f t="shared" si="72"/>
        <v>5.0649350649350646</v>
      </c>
      <c r="X140">
        <v>731</v>
      </c>
      <c r="Y140">
        <v>0</v>
      </c>
      <c r="Z140">
        <v>0</v>
      </c>
      <c r="AA140">
        <v>13</v>
      </c>
      <c r="AB140" s="3">
        <f t="shared" si="73"/>
        <v>1.6883116883116882</v>
      </c>
      <c r="AC140">
        <v>65</v>
      </c>
      <c r="AD140" s="3">
        <f t="shared" si="74"/>
        <v>8.4415584415584419</v>
      </c>
      <c r="AE140">
        <v>66</v>
      </c>
      <c r="AF140" s="3">
        <f t="shared" si="75"/>
        <v>8.5714285714285712</v>
      </c>
      <c r="AG140">
        <v>30</v>
      </c>
      <c r="AH140" s="3">
        <f t="shared" si="76"/>
        <v>3.8961038961038961</v>
      </c>
      <c r="AI140">
        <v>202</v>
      </c>
      <c r="AJ140" s="3">
        <f t="shared" si="77"/>
        <v>26.233766233766232</v>
      </c>
      <c r="AK140">
        <v>179</v>
      </c>
      <c r="AL140" s="3">
        <f t="shared" si="78"/>
        <v>23.246753246753247</v>
      </c>
      <c r="AM140">
        <v>33</v>
      </c>
      <c r="AN140" s="3">
        <f t="shared" si="79"/>
        <v>4.2857142857142856</v>
      </c>
      <c r="AO140">
        <v>24</v>
      </c>
      <c r="AP140" s="3">
        <f t="shared" si="80"/>
        <v>3.116883116883117</v>
      </c>
      <c r="AQ140">
        <v>31</v>
      </c>
      <c r="AR140" s="3">
        <f t="shared" si="81"/>
        <v>4.0259740259740262</v>
      </c>
      <c r="AS140">
        <v>88</v>
      </c>
      <c r="AT140" s="3">
        <f t="shared" si="82"/>
        <v>11.428571428571429</v>
      </c>
      <c r="AU140" t="s">
        <v>370</v>
      </c>
      <c r="AV140" s="72">
        <f>Дума_партии[[#This Row],[КОИБ]]</f>
        <v>2017</v>
      </c>
      <c r="AW140" s="1">
        <f>IF(Дума_партии[[#This Row],[Наблюдателей]]=0,"",Дума_партии[[#This Row],[Наблюдателей]])</f>
        <v>2</v>
      </c>
      <c r="AX140"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-25.164383561643859</v>
      </c>
      <c r="AY140" s="10">
        <f>2*(Мособлдума_партии[[#This Row],[6. Всероссийская политическая партия "ЕДИНАЯ РОССИЯ"]]-(AB$203/100)*Мособлдума_партии[[#This Row],[Число действительных бюллетеней]])</f>
        <v>-36.740000000000009</v>
      </c>
      <c r="AZ140" s="10">
        <f>(Мособлдума_партии[[#This Row],[Вброс]]+Мособлдума_партии[[#This Row],[Перекладывание]])/2</f>
        <v>-30.952191780821934</v>
      </c>
    </row>
    <row r="141" spans="2:52" x14ac:dyDescent="0.4">
      <c r="B141" t="s">
        <v>74</v>
      </c>
      <c r="C141" t="s">
        <v>366</v>
      </c>
      <c r="D141" t="s">
        <v>227</v>
      </c>
      <c r="E141" t="s">
        <v>269</v>
      </c>
      <c r="F141" s="8">
        <f t="shared" ca="1" si="67"/>
        <v>2009</v>
      </c>
      <c r="G141" s="8" t="str">
        <f>Дума_партии[[#This Row],[Местоположение]]</f>
        <v>Одинцово</v>
      </c>
      <c r="H141" s="2" t="str">
        <f>LEFT(Мособлдума_партии[[#This Row],[tik]],4)&amp;"."&amp;IF(ISNUMBER(VALUE(RIGHT(Мособлдума_партии[[#This Row],[tik]]))),RIGHT(Мособлдума_партии[[#This Row],[tik]]),"")</f>
        <v>Один.2</v>
      </c>
      <c r="I141">
        <v>2253</v>
      </c>
      <c r="J141" s="8">
        <f>Мособлдума_партии[[#This Row],[Число избирателей, внесенных в список на момент окончания голосования]]</f>
        <v>2253</v>
      </c>
      <c r="K141">
        <v>2000</v>
      </c>
      <c r="L141" s="1"/>
      <c r="M141">
        <v>710</v>
      </c>
      <c r="N141">
        <v>33</v>
      </c>
      <c r="O141" s="3">
        <f t="shared" si="68"/>
        <v>32.978251220594764</v>
      </c>
      <c r="P141" s="3">
        <f t="shared" si="69"/>
        <v>1.4647137150466045</v>
      </c>
      <c r="Q141">
        <v>1224</v>
      </c>
      <c r="R141">
        <v>33</v>
      </c>
      <c r="S141">
        <v>710</v>
      </c>
      <c r="T141" s="1">
        <f t="shared" si="70"/>
        <v>743</v>
      </c>
      <c r="U141" s="3">
        <f t="shared" si="71"/>
        <v>4.4414535666218038</v>
      </c>
      <c r="V141">
        <v>24</v>
      </c>
      <c r="W141" s="3">
        <f t="shared" si="72"/>
        <v>3.2301480484522207</v>
      </c>
      <c r="X141">
        <v>719</v>
      </c>
      <c r="Y141">
        <v>33</v>
      </c>
      <c r="Z141">
        <v>0</v>
      </c>
      <c r="AA141">
        <v>22</v>
      </c>
      <c r="AB141" s="3">
        <f t="shared" si="73"/>
        <v>2.9609690444145356</v>
      </c>
      <c r="AC141">
        <v>72</v>
      </c>
      <c r="AD141" s="3">
        <f t="shared" si="74"/>
        <v>9.690444145356663</v>
      </c>
      <c r="AE141">
        <v>80</v>
      </c>
      <c r="AF141" s="3">
        <f t="shared" si="75"/>
        <v>10.767160161507402</v>
      </c>
      <c r="AG141">
        <v>47</v>
      </c>
      <c r="AH141" s="3">
        <f t="shared" si="76"/>
        <v>6.3257065948855988</v>
      </c>
      <c r="AI141">
        <v>194</v>
      </c>
      <c r="AJ141" s="3">
        <f t="shared" si="77"/>
        <v>26.110363391655451</v>
      </c>
      <c r="AK141">
        <v>168</v>
      </c>
      <c r="AL141" s="3">
        <f t="shared" si="78"/>
        <v>22.611036339165544</v>
      </c>
      <c r="AM141">
        <v>26</v>
      </c>
      <c r="AN141" s="3">
        <f t="shared" si="79"/>
        <v>3.4993270524899058</v>
      </c>
      <c r="AO141">
        <v>18</v>
      </c>
      <c r="AP141" s="3">
        <f t="shared" si="80"/>
        <v>2.4226110363391657</v>
      </c>
      <c r="AQ141">
        <v>20</v>
      </c>
      <c r="AR141" s="3">
        <f t="shared" si="81"/>
        <v>2.6917900403768504</v>
      </c>
      <c r="AS141">
        <v>72</v>
      </c>
      <c r="AT141" s="3">
        <f t="shared" si="82"/>
        <v>9.690444145356663</v>
      </c>
      <c r="AU141" t="s">
        <v>370</v>
      </c>
      <c r="AV141" s="72">
        <f>Дума_партии[[#This Row],[КОИБ]]</f>
        <v>2017</v>
      </c>
      <c r="AW141" s="1">
        <f>IF(Дума_партии[[#This Row],[Наблюдателей]]=0,"",Дума_партии[[#This Row],[Наблюдателей]])</f>
        <v>2</v>
      </c>
      <c r="AX141"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-35.794520547945211</v>
      </c>
      <c r="AY141" s="10">
        <f>2*(Мособлдума_партии[[#This Row],[6. Всероссийская политическая партия "ЕДИНАЯ РОССИЯ"]]-(AB$203/100)*Мособлдума_партии[[#This Row],[Число действительных бюллетеней]])</f>
        <v>-52.260000000000048</v>
      </c>
      <c r="AZ141" s="10">
        <f>(Мособлдума_партии[[#This Row],[Вброс]]+Мособлдума_партии[[#This Row],[Перекладывание]])/2</f>
        <v>-44.02726027397263</v>
      </c>
    </row>
    <row r="142" spans="2:52" x14ac:dyDescent="0.4">
      <c r="B142" t="s">
        <v>74</v>
      </c>
      <c r="C142" t="s">
        <v>366</v>
      </c>
      <c r="D142" t="s">
        <v>227</v>
      </c>
      <c r="E142" t="s">
        <v>270</v>
      </c>
      <c r="F142" s="8">
        <f t="shared" ca="1" si="67"/>
        <v>2011</v>
      </c>
      <c r="G142" s="8" t="str">
        <f>Дума_партии[[#This Row],[Местоположение]]</f>
        <v>Одинцово</v>
      </c>
      <c r="H142" s="2" t="str">
        <f>LEFT(Мособлдума_партии[[#This Row],[tik]],4)&amp;"."&amp;IF(ISNUMBER(VALUE(RIGHT(Мособлдума_партии[[#This Row],[tik]]))),RIGHT(Мособлдума_партии[[#This Row],[tik]]),"")</f>
        <v>Один.2</v>
      </c>
      <c r="I142">
        <v>1800</v>
      </c>
      <c r="J142" s="8">
        <f>Мособлдума_партии[[#This Row],[Число избирателей, внесенных в список на момент окончания голосования]]</f>
        <v>1800</v>
      </c>
      <c r="K142">
        <v>1500</v>
      </c>
      <c r="L142" s="1"/>
      <c r="M142">
        <v>1100</v>
      </c>
      <c r="N142">
        <v>159</v>
      </c>
      <c r="O142" s="3">
        <f t="shared" si="68"/>
        <v>69.944444444444443</v>
      </c>
      <c r="P142" s="3">
        <f t="shared" si="69"/>
        <v>8.8333333333333339</v>
      </c>
      <c r="Q142">
        <v>241</v>
      </c>
      <c r="R142">
        <v>159</v>
      </c>
      <c r="S142">
        <v>1100</v>
      </c>
      <c r="T142" s="1">
        <f t="shared" si="70"/>
        <v>1259</v>
      </c>
      <c r="U142" s="3">
        <f t="shared" si="71"/>
        <v>12.629070691024623</v>
      </c>
      <c r="V142">
        <v>167</v>
      </c>
      <c r="W142" s="3">
        <f t="shared" si="72"/>
        <v>13.264495631453535</v>
      </c>
      <c r="X142">
        <v>1092</v>
      </c>
      <c r="Y142">
        <v>0</v>
      </c>
      <c r="Z142">
        <v>0</v>
      </c>
      <c r="AA142">
        <v>16</v>
      </c>
      <c r="AB142" s="3">
        <f t="shared" si="73"/>
        <v>1.2708498808578237</v>
      </c>
      <c r="AC142">
        <v>89</v>
      </c>
      <c r="AD142" s="3">
        <f t="shared" si="74"/>
        <v>7.0691024622716441</v>
      </c>
      <c r="AE142">
        <v>4</v>
      </c>
      <c r="AF142" s="3">
        <f t="shared" si="75"/>
        <v>0.31771247021445592</v>
      </c>
      <c r="AG142">
        <v>2</v>
      </c>
      <c r="AH142" s="3">
        <f t="shared" si="76"/>
        <v>0.15885623510722796</v>
      </c>
      <c r="AI142">
        <v>215</v>
      </c>
      <c r="AJ142" s="3">
        <f t="shared" si="77"/>
        <v>17.077045274027004</v>
      </c>
      <c r="AK142">
        <v>702</v>
      </c>
      <c r="AL142" s="3">
        <f t="shared" si="78"/>
        <v>55.758538522637011</v>
      </c>
      <c r="AM142">
        <v>4</v>
      </c>
      <c r="AN142" s="3">
        <f t="shared" si="79"/>
        <v>0.31771247021445592</v>
      </c>
      <c r="AO142">
        <v>22</v>
      </c>
      <c r="AP142" s="3">
        <f t="shared" si="80"/>
        <v>1.7474185861795075</v>
      </c>
      <c r="AQ142">
        <v>10</v>
      </c>
      <c r="AR142" s="3">
        <f t="shared" si="81"/>
        <v>0.79428117553613975</v>
      </c>
      <c r="AS142">
        <v>28</v>
      </c>
      <c r="AT142" s="3">
        <f t="shared" si="82"/>
        <v>2.2239872915011913</v>
      </c>
      <c r="AU142" t="s">
        <v>370</v>
      </c>
      <c r="AV142" s="72">
        <f>Дума_партии[[#This Row],[КОИБ]]</f>
        <v>2017</v>
      </c>
      <c r="AW142" s="1" t="str">
        <f>IF(Дума_партии[[#This Row],[Наблюдателей]]=0,"",Дума_партии[[#This Row],[Наблюдателей]])</f>
        <v/>
      </c>
      <c r="AX142"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557.7534246575342</v>
      </c>
      <c r="AY142" s="10">
        <f>2*(Мособлдума_партии[[#This Row],[6. Всероссийская политическая партия "ЕДИНАЯ РОССИЯ"]]-(AB$203/100)*Мособлдума_партии[[#This Row],[Число действительных бюллетеней]])</f>
        <v>814.31999999999994</v>
      </c>
      <c r="AZ142" s="10">
        <f>(Мособлдума_партии[[#This Row],[Вброс]]+Мособлдума_партии[[#This Row],[Перекладывание]])/2</f>
        <v>686.03671232876707</v>
      </c>
    </row>
    <row r="143" spans="2:52" x14ac:dyDescent="0.4">
      <c r="B143" t="s">
        <v>74</v>
      </c>
      <c r="C143" t="s">
        <v>366</v>
      </c>
      <c r="D143" t="s">
        <v>227</v>
      </c>
      <c r="E143" t="s">
        <v>271</v>
      </c>
      <c r="F143" s="8">
        <f t="shared" ca="1" si="67"/>
        <v>2013</v>
      </c>
      <c r="G143" s="8" t="str">
        <f>Дума_партии[[#This Row],[Местоположение]]</f>
        <v>Одинцово</v>
      </c>
      <c r="H143" s="2" t="str">
        <f>LEFT(Мособлдума_партии[[#This Row],[tik]],4)&amp;"."&amp;IF(ISNUMBER(VALUE(RIGHT(Мособлдума_партии[[#This Row],[tik]]))),RIGHT(Мособлдума_партии[[#This Row],[tik]]),"")</f>
        <v>Один.2</v>
      </c>
      <c r="I143">
        <v>2162</v>
      </c>
      <c r="J143" s="8">
        <f>Мособлдума_партии[[#This Row],[Число избирателей, внесенных в список на момент окончания голосования]]</f>
        <v>2162</v>
      </c>
      <c r="K143">
        <v>2000</v>
      </c>
      <c r="L143" s="1"/>
      <c r="M143">
        <v>683</v>
      </c>
      <c r="N143">
        <v>6</v>
      </c>
      <c r="O143" s="3">
        <f t="shared" si="68"/>
        <v>31.868640148011099</v>
      </c>
      <c r="P143" s="3">
        <f t="shared" si="69"/>
        <v>0.27752081406105455</v>
      </c>
      <c r="Q143">
        <v>1311</v>
      </c>
      <c r="R143">
        <v>6</v>
      </c>
      <c r="S143">
        <v>683</v>
      </c>
      <c r="T143" s="1">
        <f t="shared" si="70"/>
        <v>689</v>
      </c>
      <c r="U143" s="3">
        <f t="shared" si="71"/>
        <v>0.8708272859216255</v>
      </c>
      <c r="V143">
        <v>42</v>
      </c>
      <c r="W143" s="3">
        <f t="shared" si="72"/>
        <v>6.0957910014513788</v>
      </c>
      <c r="X143">
        <v>647</v>
      </c>
      <c r="Y143">
        <v>0</v>
      </c>
      <c r="Z143">
        <v>0</v>
      </c>
      <c r="AA143">
        <v>11</v>
      </c>
      <c r="AB143" s="3">
        <f t="shared" si="73"/>
        <v>1.5965166908563135</v>
      </c>
      <c r="AC143">
        <v>65</v>
      </c>
      <c r="AD143" s="3">
        <f t="shared" si="74"/>
        <v>9.433962264150944</v>
      </c>
      <c r="AE143">
        <v>82</v>
      </c>
      <c r="AF143" s="3">
        <f t="shared" si="75"/>
        <v>11.901306240928882</v>
      </c>
      <c r="AG143">
        <v>32</v>
      </c>
      <c r="AH143" s="3">
        <f t="shared" si="76"/>
        <v>4.6444121915820027</v>
      </c>
      <c r="AI143">
        <v>162</v>
      </c>
      <c r="AJ143" s="3">
        <f t="shared" si="77"/>
        <v>23.512336719883891</v>
      </c>
      <c r="AK143">
        <v>146</v>
      </c>
      <c r="AL143" s="3">
        <f t="shared" si="78"/>
        <v>21.190130624092888</v>
      </c>
      <c r="AM143">
        <v>23</v>
      </c>
      <c r="AN143" s="3">
        <f t="shared" si="79"/>
        <v>3.3381712626995648</v>
      </c>
      <c r="AO143">
        <v>19</v>
      </c>
      <c r="AP143" s="3">
        <f t="shared" si="80"/>
        <v>2.7576197387518144</v>
      </c>
      <c r="AQ143">
        <v>34</v>
      </c>
      <c r="AR143" s="3">
        <f t="shared" si="81"/>
        <v>4.9346879535558781</v>
      </c>
      <c r="AS143">
        <v>73</v>
      </c>
      <c r="AT143" s="3">
        <f t="shared" si="82"/>
        <v>10.595065312046444</v>
      </c>
      <c r="AU143" t="s">
        <v>370</v>
      </c>
      <c r="AV143" s="72">
        <f>Дума_партии[[#This Row],[КОИБ]]</f>
        <v>2017</v>
      </c>
      <c r="AW143" s="1">
        <f>IF(Дума_партии[[#This Row],[Наблюдателей]]=0,"",Дума_партии[[#This Row],[Наблюдателей]])</f>
        <v>1</v>
      </c>
      <c r="AX143"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-39.301369863013718</v>
      </c>
      <c r="AY143" s="10">
        <f>2*(Мособлдума_партии[[#This Row],[6. Всероссийская политическая партия "ЕДИНАЯ РОССИЯ"]]-(AB$203/100)*Мособлдума_партии[[#This Row],[Число действительных бюллетеней]])</f>
        <v>-57.379999999999995</v>
      </c>
      <c r="AZ143" s="10">
        <f>(Мособлдума_партии[[#This Row],[Вброс]]+Мособлдума_партии[[#This Row],[Перекладывание]])/2</f>
        <v>-48.340684931506857</v>
      </c>
    </row>
    <row r="144" spans="2:52" x14ac:dyDescent="0.4">
      <c r="B144" t="s">
        <v>74</v>
      </c>
      <c r="C144" t="s">
        <v>366</v>
      </c>
      <c r="D144" t="s">
        <v>227</v>
      </c>
      <c r="E144" t="s">
        <v>272</v>
      </c>
      <c r="F144" s="8">
        <f t="shared" ca="1" si="67"/>
        <v>2015</v>
      </c>
      <c r="G144" s="8" t="str">
        <f>Дума_партии[[#This Row],[Местоположение]]</f>
        <v>Одинцово</v>
      </c>
      <c r="H144" s="2" t="str">
        <f>LEFT(Мособлдума_партии[[#This Row],[tik]],4)&amp;"."&amp;IF(ISNUMBER(VALUE(RIGHT(Мособлдума_партии[[#This Row],[tik]]))),RIGHT(Мособлдума_партии[[#This Row],[tik]]),"")</f>
        <v>Один.2</v>
      </c>
      <c r="I144">
        <v>2058</v>
      </c>
      <c r="J144" s="8">
        <f>Мособлдума_партии[[#This Row],[Число избирателей, внесенных в список на момент окончания голосования]]</f>
        <v>2058</v>
      </c>
      <c r="K144">
        <v>2000</v>
      </c>
      <c r="L144" s="1"/>
      <c r="M144">
        <v>762</v>
      </c>
      <c r="N144">
        <v>42</v>
      </c>
      <c r="O144" s="3">
        <f t="shared" si="68"/>
        <v>39.067055393586003</v>
      </c>
      <c r="P144" s="3">
        <f t="shared" si="69"/>
        <v>2.0408163265306123</v>
      </c>
      <c r="Q144">
        <v>1196</v>
      </c>
      <c r="R144">
        <v>40</v>
      </c>
      <c r="S144">
        <v>753</v>
      </c>
      <c r="T144" s="1">
        <f t="shared" si="70"/>
        <v>793</v>
      </c>
      <c r="U144" s="3">
        <f t="shared" si="71"/>
        <v>5.0441361916771754</v>
      </c>
      <c r="V144">
        <v>29</v>
      </c>
      <c r="W144" s="3">
        <f t="shared" si="72"/>
        <v>3.6569987389659522</v>
      </c>
      <c r="X144">
        <v>764</v>
      </c>
      <c r="Y144">
        <v>0</v>
      </c>
      <c r="Z144">
        <v>0</v>
      </c>
      <c r="AA144">
        <v>17</v>
      </c>
      <c r="AB144" s="3">
        <f t="shared" si="73"/>
        <v>2.1437578814627996</v>
      </c>
      <c r="AC144">
        <v>92</v>
      </c>
      <c r="AD144" s="3">
        <f t="shared" si="74"/>
        <v>11.601513240857503</v>
      </c>
      <c r="AE144">
        <v>57</v>
      </c>
      <c r="AF144" s="3">
        <f t="shared" si="75"/>
        <v>7.187894073139975</v>
      </c>
      <c r="AG144">
        <v>42</v>
      </c>
      <c r="AH144" s="3">
        <f t="shared" si="76"/>
        <v>5.2963430012610342</v>
      </c>
      <c r="AI144">
        <v>207</v>
      </c>
      <c r="AJ144" s="3">
        <f t="shared" si="77"/>
        <v>26.103404791929382</v>
      </c>
      <c r="AK144">
        <v>211</v>
      </c>
      <c r="AL144" s="3">
        <f t="shared" si="78"/>
        <v>26.607818411097099</v>
      </c>
      <c r="AM144">
        <v>12</v>
      </c>
      <c r="AN144" s="3">
        <f t="shared" si="79"/>
        <v>1.5132408575031526</v>
      </c>
      <c r="AO144">
        <v>13</v>
      </c>
      <c r="AP144" s="3">
        <f t="shared" si="80"/>
        <v>1.639344262295082</v>
      </c>
      <c r="AQ144">
        <v>21</v>
      </c>
      <c r="AR144" s="3">
        <f t="shared" si="81"/>
        <v>2.6481715006305171</v>
      </c>
      <c r="AS144">
        <v>92</v>
      </c>
      <c r="AT144" s="3">
        <f t="shared" si="82"/>
        <v>11.601513240857503</v>
      </c>
      <c r="AU144" t="s">
        <v>370</v>
      </c>
      <c r="AV144" s="72">
        <f>Дума_партии[[#This Row],[КОИБ]]</f>
        <v>2017</v>
      </c>
      <c r="AW144" s="1" t="str">
        <f>IF(Дума_партии[[#This Row],[Наблюдателей]]=0,"",Дума_партии[[#This Row],[Наблюдателей]])</f>
        <v/>
      </c>
      <c r="AX144"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6.465753424657521</v>
      </c>
      <c r="AY144" s="10">
        <f>2*(Мособлдума_партии[[#This Row],[6. Всероссийская политическая партия "ЕДИНАЯ РОССИЯ"]]-(AB$203/100)*Мособлдума_партии[[#This Row],[Число действительных бюллетеней]])</f>
        <v>9.4399999999999977</v>
      </c>
      <c r="AZ144" s="10">
        <f>(Мособлдума_партии[[#This Row],[Вброс]]+Мособлдума_партии[[#This Row],[Перекладывание]])/2</f>
        <v>7.9528767123287594</v>
      </c>
    </row>
    <row r="145" spans="2:52" x14ac:dyDescent="0.4">
      <c r="B145" t="s">
        <v>74</v>
      </c>
      <c r="C145" t="s">
        <v>366</v>
      </c>
      <c r="D145" t="s">
        <v>227</v>
      </c>
      <c r="E145" t="s">
        <v>273</v>
      </c>
      <c r="F145" s="8">
        <f t="shared" ca="1" si="67"/>
        <v>2017</v>
      </c>
      <c r="G145" s="8" t="str">
        <f>Дума_партии[[#This Row],[Местоположение]]</f>
        <v>Одинцово</v>
      </c>
      <c r="H145" s="2" t="str">
        <f>LEFT(Мособлдума_партии[[#This Row],[tik]],4)&amp;"."&amp;IF(ISNUMBER(VALUE(RIGHT(Мособлдума_партии[[#This Row],[tik]]))),RIGHT(Мособлдума_партии[[#This Row],[tik]]),"")</f>
        <v>Один.2</v>
      </c>
      <c r="I145">
        <v>2109</v>
      </c>
      <c r="J145" s="8">
        <f>Мособлдума_партии[[#This Row],[Число избирателей, внесенных в список на момент окончания голосования]]</f>
        <v>2109</v>
      </c>
      <c r="K145">
        <v>1600</v>
      </c>
      <c r="L145" s="1"/>
      <c r="M145">
        <v>716</v>
      </c>
      <c r="N145">
        <v>43</v>
      </c>
      <c r="O145" s="3">
        <f t="shared" si="68"/>
        <v>35.988620199146517</v>
      </c>
      <c r="P145" s="3">
        <f t="shared" si="69"/>
        <v>2.0388809862494073</v>
      </c>
      <c r="Q145">
        <v>841</v>
      </c>
      <c r="R145">
        <v>43</v>
      </c>
      <c r="S145">
        <v>673</v>
      </c>
      <c r="T145" s="1">
        <f t="shared" si="70"/>
        <v>716</v>
      </c>
      <c r="U145" s="3">
        <f t="shared" si="71"/>
        <v>6.005586592178771</v>
      </c>
      <c r="V145">
        <v>31</v>
      </c>
      <c r="W145" s="3">
        <f t="shared" si="72"/>
        <v>4.3296089385474863</v>
      </c>
      <c r="X145">
        <v>685</v>
      </c>
      <c r="Y145">
        <v>0</v>
      </c>
      <c r="Z145">
        <v>0</v>
      </c>
      <c r="AA145">
        <v>9</v>
      </c>
      <c r="AB145" s="3">
        <f t="shared" si="73"/>
        <v>1.2569832402234637</v>
      </c>
      <c r="AC145">
        <v>66</v>
      </c>
      <c r="AD145" s="3">
        <f t="shared" si="74"/>
        <v>9.2178770949720672</v>
      </c>
      <c r="AE145">
        <v>46</v>
      </c>
      <c r="AF145" s="3">
        <f t="shared" si="75"/>
        <v>6.4245810055865924</v>
      </c>
      <c r="AG145">
        <v>37</v>
      </c>
      <c r="AH145" s="3">
        <f t="shared" si="76"/>
        <v>5.1675977653631282</v>
      </c>
      <c r="AI145">
        <v>176</v>
      </c>
      <c r="AJ145" s="3">
        <f t="shared" si="77"/>
        <v>24.58100558659218</v>
      </c>
      <c r="AK145">
        <v>216</v>
      </c>
      <c r="AL145" s="3">
        <f t="shared" si="78"/>
        <v>30.16759776536313</v>
      </c>
      <c r="AM145">
        <v>18</v>
      </c>
      <c r="AN145" s="3">
        <f t="shared" si="79"/>
        <v>2.5139664804469275</v>
      </c>
      <c r="AO145">
        <v>20</v>
      </c>
      <c r="AP145" s="3">
        <f t="shared" si="80"/>
        <v>2.7932960893854748</v>
      </c>
      <c r="AQ145">
        <v>22</v>
      </c>
      <c r="AR145" s="3">
        <f t="shared" si="81"/>
        <v>3.0726256983240225</v>
      </c>
      <c r="AS145">
        <v>75</v>
      </c>
      <c r="AT145" s="3">
        <f t="shared" si="82"/>
        <v>10.474860335195531</v>
      </c>
      <c r="AU145" t="s">
        <v>370</v>
      </c>
      <c r="AV145" s="72">
        <f>Дума_партии[[#This Row],[КОИБ]]</f>
        <v>2017</v>
      </c>
      <c r="AW145" s="1" t="str">
        <f>IF(Дума_партии[[#This Row],[Наблюдателей]]=0,"",Дума_партии[[#This Row],[Наблюдателей]])</f>
        <v/>
      </c>
      <c r="AX145"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42.534246575342451</v>
      </c>
      <c r="AY145" s="10">
        <f>2*(Мособлдума_партии[[#This Row],[6. Всероссийская политическая партия "ЕДИНАЯ РОССИЯ"]]-(AB$203/100)*Мособлдума_партии[[#This Row],[Число действительных бюллетеней]])</f>
        <v>62.099999999999966</v>
      </c>
      <c r="AZ145" s="10">
        <f>(Мособлдума_партии[[#This Row],[Вброс]]+Мособлдума_партии[[#This Row],[Перекладывание]])/2</f>
        <v>52.317123287671208</v>
      </c>
    </row>
    <row r="146" spans="2:52" x14ac:dyDescent="0.4">
      <c r="B146" t="s">
        <v>74</v>
      </c>
      <c r="C146" t="s">
        <v>366</v>
      </c>
      <c r="D146" t="s">
        <v>227</v>
      </c>
      <c r="E146" t="s">
        <v>274</v>
      </c>
      <c r="F146" s="8">
        <f t="shared" ca="1" si="67"/>
        <v>2019</v>
      </c>
      <c r="G146" s="8" t="str">
        <f>Дума_партии[[#This Row],[Местоположение]]</f>
        <v>Одинцово</v>
      </c>
      <c r="H146" s="2" t="str">
        <f>LEFT(Мособлдума_партии[[#This Row],[tik]],4)&amp;"."&amp;IF(ISNUMBER(VALUE(RIGHT(Мособлдума_партии[[#This Row],[tik]]))),RIGHT(Мособлдума_партии[[#This Row],[tik]]),"")</f>
        <v>Один.2</v>
      </c>
      <c r="I146">
        <v>1251</v>
      </c>
      <c r="J146" s="8">
        <f>Мособлдума_партии[[#This Row],[Число избирателей, внесенных в список на момент окончания голосования]]</f>
        <v>1251</v>
      </c>
      <c r="K146">
        <v>1000</v>
      </c>
      <c r="L146" s="1"/>
      <c r="M146">
        <v>366</v>
      </c>
      <c r="N146">
        <v>3</v>
      </c>
      <c r="O146" s="3">
        <f t="shared" si="68"/>
        <v>29.496402877697843</v>
      </c>
      <c r="P146" s="3">
        <f t="shared" si="69"/>
        <v>0.23980815347721823</v>
      </c>
      <c r="Q146">
        <v>631</v>
      </c>
      <c r="R146">
        <v>3</v>
      </c>
      <c r="S146">
        <v>366</v>
      </c>
      <c r="T146" s="1">
        <f t="shared" si="70"/>
        <v>369</v>
      </c>
      <c r="U146" s="3">
        <f t="shared" si="71"/>
        <v>0.81300813008130079</v>
      </c>
      <c r="V146">
        <v>20</v>
      </c>
      <c r="W146" s="3">
        <f t="shared" si="72"/>
        <v>5.4200542005420056</v>
      </c>
      <c r="X146">
        <v>349</v>
      </c>
      <c r="Y146">
        <v>0</v>
      </c>
      <c r="Z146">
        <v>0</v>
      </c>
      <c r="AA146">
        <v>7</v>
      </c>
      <c r="AB146" s="3">
        <f t="shared" si="73"/>
        <v>1.897018970189702</v>
      </c>
      <c r="AC146">
        <v>44</v>
      </c>
      <c r="AD146" s="3">
        <f t="shared" si="74"/>
        <v>11.924119241192411</v>
      </c>
      <c r="AE146">
        <v>30</v>
      </c>
      <c r="AF146" s="3">
        <f t="shared" si="75"/>
        <v>8.1300813008130088</v>
      </c>
      <c r="AG146">
        <v>29</v>
      </c>
      <c r="AH146" s="3">
        <f t="shared" si="76"/>
        <v>7.8590785907859075</v>
      </c>
      <c r="AI146">
        <v>96</v>
      </c>
      <c r="AJ146" s="3">
        <f t="shared" si="77"/>
        <v>26.016260162601625</v>
      </c>
      <c r="AK146">
        <v>78</v>
      </c>
      <c r="AL146" s="3">
        <f t="shared" si="78"/>
        <v>21.13821138211382</v>
      </c>
      <c r="AM146">
        <v>8</v>
      </c>
      <c r="AN146" s="3">
        <f t="shared" si="79"/>
        <v>2.168021680216802</v>
      </c>
      <c r="AO146">
        <v>11</v>
      </c>
      <c r="AP146" s="3">
        <f t="shared" si="80"/>
        <v>2.9810298102981028</v>
      </c>
      <c r="AQ146">
        <v>9</v>
      </c>
      <c r="AR146" s="3">
        <f t="shared" si="81"/>
        <v>2.4390243902439024</v>
      </c>
      <c r="AS146">
        <v>37</v>
      </c>
      <c r="AT146" s="3">
        <f t="shared" si="82"/>
        <v>10.027100271002711</v>
      </c>
      <c r="AU146" t="s">
        <v>370</v>
      </c>
      <c r="AV146" s="72">
        <f>Дума_партии[[#This Row],[КОИБ]]</f>
        <v>2017</v>
      </c>
      <c r="AW146" s="1">
        <f>IF(Дума_партии[[#This Row],[Наблюдателей]]=0,"",Дума_партии[[#This Row],[Наблюдателей]])</f>
        <v>1</v>
      </c>
      <c r="AX146"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-22.232876712328775</v>
      </c>
      <c r="AY146" s="10">
        <f>2*(Мособлдума_партии[[#This Row],[6. Всероссийская политическая партия "ЕДИНАЯ РОССИЯ"]]-(AB$203/100)*Мособлдума_партии[[#This Row],[Число действительных бюллетеней]])</f>
        <v>-32.460000000000008</v>
      </c>
      <c r="AZ146" s="10">
        <f>(Мособлдума_партии[[#This Row],[Вброс]]+Мособлдума_партии[[#This Row],[Перекладывание]])/2</f>
        <v>-27.346438356164391</v>
      </c>
    </row>
    <row r="147" spans="2:52" x14ac:dyDescent="0.4">
      <c r="B147" t="s">
        <v>74</v>
      </c>
      <c r="C147" t="s">
        <v>366</v>
      </c>
      <c r="D147" t="s">
        <v>227</v>
      </c>
      <c r="E147" t="s">
        <v>275</v>
      </c>
      <c r="F147" s="8">
        <f t="shared" ca="1" si="67"/>
        <v>2020</v>
      </c>
      <c r="G147" s="8" t="str">
        <f>Дума_партии[[#This Row],[Местоположение]]</f>
        <v>Одинцово</v>
      </c>
      <c r="H147" s="2" t="str">
        <f>LEFT(Мособлдума_партии[[#This Row],[tik]],4)&amp;"."&amp;IF(ISNUMBER(VALUE(RIGHT(Мособлдума_партии[[#This Row],[tik]]))),RIGHT(Мособлдума_партии[[#This Row],[tik]]),"")</f>
        <v>Один.2</v>
      </c>
      <c r="I147">
        <v>1278</v>
      </c>
      <c r="J147" s="8">
        <f>Мособлдума_партии[[#This Row],[Число избирателей, внесенных в список на момент окончания голосования]]</f>
        <v>1278</v>
      </c>
      <c r="K147">
        <v>1000</v>
      </c>
      <c r="L147" s="1"/>
      <c r="M147">
        <v>456</v>
      </c>
      <c r="N147">
        <v>7</v>
      </c>
      <c r="O147" s="3">
        <f t="shared" si="68"/>
        <v>36.228482003129891</v>
      </c>
      <c r="P147" s="3">
        <f t="shared" si="69"/>
        <v>0.54773082942097029</v>
      </c>
      <c r="Q147">
        <v>537</v>
      </c>
      <c r="R147">
        <v>7</v>
      </c>
      <c r="S147">
        <v>456</v>
      </c>
      <c r="T147" s="1">
        <f t="shared" si="70"/>
        <v>463</v>
      </c>
      <c r="U147" s="3">
        <f t="shared" si="71"/>
        <v>1.5118790496760259</v>
      </c>
      <c r="V147">
        <v>18</v>
      </c>
      <c r="W147" s="3">
        <f t="shared" si="72"/>
        <v>3.8876889848812093</v>
      </c>
      <c r="X147">
        <v>445</v>
      </c>
      <c r="Y147">
        <v>0</v>
      </c>
      <c r="Z147">
        <v>0</v>
      </c>
      <c r="AA147">
        <v>5</v>
      </c>
      <c r="AB147" s="3">
        <f t="shared" si="73"/>
        <v>1.079913606911447</v>
      </c>
      <c r="AC147">
        <v>36</v>
      </c>
      <c r="AD147" s="3">
        <f t="shared" si="74"/>
        <v>7.7753779697624186</v>
      </c>
      <c r="AE147">
        <v>45</v>
      </c>
      <c r="AF147" s="3">
        <f t="shared" si="75"/>
        <v>9.7192224622030245</v>
      </c>
      <c r="AG147">
        <v>25</v>
      </c>
      <c r="AH147" s="3">
        <f t="shared" si="76"/>
        <v>5.3995680345572357</v>
      </c>
      <c r="AI147">
        <v>107</v>
      </c>
      <c r="AJ147" s="3">
        <f t="shared" si="77"/>
        <v>23.110151187904968</v>
      </c>
      <c r="AK147">
        <v>113</v>
      </c>
      <c r="AL147" s="3">
        <f t="shared" si="78"/>
        <v>24.406047516198704</v>
      </c>
      <c r="AM147">
        <v>17</v>
      </c>
      <c r="AN147" s="3">
        <f t="shared" si="79"/>
        <v>3.6717062634989199</v>
      </c>
      <c r="AO147">
        <v>23</v>
      </c>
      <c r="AP147" s="3">
        <f t="shared" si="80"/>
        <v>4.967602591792657</v>
      </c>
      <c r="AQ147">
        <v>7</v>
      </c>
      <c r="AR147" s="3">
        <f t="shared" si="81"/>
        <v>1.5118790496760259</v>
      </c>
      <c r="AS147">
        <v>67</v>
      </c>
      <c r="AT147" s="3">
        <f t="shared" si="82"/>
        <v>14.47084233261339</v>
      </c>
      <c r="AU147" t="s">
        <v>370</v>
      </c>
      <c r="AV147" s="72">
        <f>Дума_партии[[#This Row],[КОИБ]]</f>
        <v>2017</v>
      </c>
      <c r="AW147" s="1" t="str">
        <f>IF(Дума_партии[[#This Row],[Наблюдателей]]=0,"",Дума_партии[[#This Row],[Наблюдателей]])</f>
        <v/>
      </c>
      <c r="AX147"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-9.7945205479452113</v>
      </c>
      <c r="AY147" s="10">
        <f>2*(Мособлдума_партии[[#This Row],[6. Всероссийская политическая партия "ЕДИНАЯ РОССИЯ"]]-(AB$203/100)*Мособлдума_партии[[#This Row],[Число действительных бюллетеней]])</f>
        <v>-14.300000000000011</v>
      </c>
      <c r="AZ147" s="10">
        <f>(Мособлдума_партии[[#This Row],[Вброс]]+Мособлдума_партии[[#This Row],[Перекладывание]])/2</f>
        <v>-12.047260273972611</v>
      </c>
    </row>
    <row r="148" spans="2:52" x14ac:dyDescent="0.4">
      <c r="B148" t="s">
        <v>74</v>
      </c>
      <c r="C148" t="s">
        <v>366</v>
      </c>
      <c r="D148" t="s">
        <v>227</v>
      </c>
      <c r="E148" t="s">
        <v>276</v>
      </c>
      <c r="F148" s="8">
        <f t="shared" ca="1" si="67"/>
        <v>2021</v>
      </c>
      <c r="G148" s="8" t="str">
        <f>Дума_партии[[#This Row],[Местоположение]]</f>
        <v>Одинцово</v>
      </c>
      <c r="H148" s="2" t="str">
        <f>LEFT(Мособлдума_партии[[#This Row],[tik]],4)&amp;"."&amp;IF(ISNUMBER(VALUE(RIGHT(Мособлдума_партии[[#This Row],[tik]]))),RIGHT(Мособлдума_партии[[#This Row],[tik]]),"")</f>
        <v>Один.2</v>
      </c>
      <c r="I148">
        <v>981</v>
      </c>
      <c r="J148" s="8">
        <f>Мособлдума_партии[[#This Row],[Число избирателей, внесенных в список на момент окончания голосования]]</f>
        <v>981</v>
      </c>
      <c r="K148">
        <v>800</v>
      </c>
      <c r="L148" s="1"/>
      <c r="M148">
        <v>312</v>
      </c>
      <c r="N148">
        <v>8</v>
      </c>
      <c r="O148" s="3">
        <f t="shared" si="68"/>
        <v>32.619775739041792</v>
      </c>
      <c r="P148" s="3">
        <f t="shared" si="69"/>
        <v>0.8154943934760448</v>
      </c>
      <c r="Q148">
        <v>480</v>
      </c>
      <c r="R148">
        <v>8</v>
      </c>
      <c r="S148">
        <v>312</v>
      </c>
      <c r="T148" s="1">
        <f t="shared" si="70"/>
        <v>320</v>
      </c>
      <c r="U148" s="3">
        <f t="shared" si="71"/>
        <v>2.5</v>
      </c>
      <c r="V148">
        <v>97</v>
      </c>
      <c r="W148" s="3">
        <f t="shared" si="72"/>
        <v>30.3125</v>
      </c>
      <c r="X148">
        <v>223</v>
      </c>
      <c r="Y148">
        <v>0</v>
      </c>
      <c r="Z148">
        <v>0</v>
      </c>
      <c r="AA148">
        <v>3</v>
      </c>
      <c r="AB148" s="3">
        <f t="shared" si="73"/>
        <v>0.9375</v>
      </c>
      <c r="AC148">
        <v>23</v>
      </c>
      <c r="AD148" s="3">
        <f t="shared" si="74"/>
        <v>7.1875</v>
      </c>
      <c r="AE148">
        <v>11</v>
      </c>
      <c r="AF148" s="3">
        <f t="shared" si="75"/>
        <v>3.4375</v>
      </c>
      <c r="AG148">
        <v>16</v>
      </c>
      <c r="AH148" s="3">
        <f t="shared" si="76"/>
        <v>5</v>
      </c>
      <c r="AI148">
        <v>59</v>
      </c>
      <c r="AJ148" s="3">
        <f t="shared" si="77"/>
        <v>18.4375</v>
      </c>
      <c r="AK148">
        <v>55</v>
      </c>
      <c r="AL148" s="3">
        <f t="shared" si="78"/>
        <v>17.1875</v>
      </c>
      <c r="AM148">
        <v>9</v>
      </c>
      <c r="AN148" s="3">
        <f t="shared" si="79"/>
        <v>2.8125</v>
      </c>
      <c r="AO148">
        <v>7</v>
      </c>
      <c r="AP148" s="3">
        <f t="shared" si="80"/>
        <v>2.1875</v>
      </c>
      <c r="AQ148">
        <v>5</v>
      </c>
      <c r="AR148" s="3">
        <f t="shared" si="81"/>
        <v>1.5625</v>
      </c>
      <c r="AS148">
        <v>35</v>
      </c>
      <c r="AT148" s="3">
        <f t="shared" si="82"/>
        <v>10.9375</v>
      </c>
      <c r="AU148" t="s">
        <v>370</v>
      </c>
      <c r="AV148" s="72">
        <f>Дума_партии[[#This Row],[КОИБ]]</f>
        <v>2017</v>
      </c>
      <c r="AW148" s="1">
        <f>IF(Дума_партии[[#This Row],[Наблюдателей]]=0,"",Дума_партии[[#This Row],[Наблюдателей]])</f>
        <v>2</v>
      </c>
      <c r="AX148"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-7.1369863013698662</v>
      </c>
      <c r="AY148" s="10">
        <f>2*(Мособлдума_партии[[#This Row],[6. Всероссийская политическая партия "ЕДИНАЯ РОССИЯ"]]-(AB$203/100)*Мособлдума_партии[[#This Row],[Число действительных бюллетеней]])</f>
        <v>-10.420000000000002</v>
      </c>
      <c r="AZ148" s="10">
        <f>(Мособлдума_партии[[#This Row],[Вброс]]+Мособлдума_партии[[#This Row],[Перекладывание]])/2</f>
        <v>-8.778493150684934</v>
      </c>
    </row>
    <row r="149" spans="2:52" x14ac:dyDescent="0.4">
      <c r="B149" t="s">
        <v>74</v>
      </c>
      <c r="C149" t="s">
        <v>366</v>
      </c>
      <c r="D149" t="s">
        <v>227</v>
      </c>
      <c r="E149" t="s">
        <v>277</v>
      </c>
      <c r="F149" s="8">
        <f t="shared" ca="1" si="67"/>
        <v>2022</v>
      </c>
      <c r="G149" s="8" t="str">
        <f>Дума_партии[[#This Row],[Местоположение]]</f>
        <v>Одинцово</v>
      </c>
      <c r="H149" s="2" t="str">
        <f>LEFT(Мособлдума_партии[[#This Row],[tik]],4)&amp;"."&amp;IF(ISNUMBER(VALUE(RIGHT(Мособлдума_партии[[#This Row],[tik]]))),RIGHT(Мособлдума_партии[[#This Row],[tik]]),"")</f>
        <v>Один.2</v>
      </c>
      <c r="I149">
        <v>1911</v>
      </c>
      <c r="J149" s="8">
        <f>Мособлдума_партии[[#This Row],[Число избирателей, внесенных в список на момент окончания голосования]]</f>
        <v>1911</v>
      </c>
      <c r="K149">
        <v>1500</v>
      </c>
      <c r="L149" s="1"/>
      <c r="M149">
        <v>590</v>
      </c>
      <c r="N149">
        <v>39</v>
      </c>
      <c r="O149" s="3">
        <f t="shared" si="68"/>
        <v>32.914704343275773</v>
      </c>
      <c r="P149" s="3">
        <f t="shared" si="69"/>
        <v>2.0408163265306123</v>
      </c>
      <c r="Q149">
        <v>871</v>
      </c>
      <c r="R149">
        <v>39</v>
      </c>
      <c r="S149">
        <v>590</v>
      </c>
      <c r="T149" s="1">
        <f t="shared" si="70"/>
        <v>629</v>
      </c>
      <c r="U149" s="3">
        <f t="shared" si="71"/>
        <v>6.2003179650238476</v>
      </c>
      <c r="V149">
        <v>24</v>
      </c>
      <c r="W149" s="3">
        <f t="shared" si="72"/>
        <v>3.8155802861685215</v>
      </c>
      <c r="X149">
        <v>605</v>
      </c>
      <c r="Y149">
        <v>0</v>
      </c>
      <c r="Z149">
        <v>0</v>
      </c>
      <c r="AA149">
        <v>12</v>
      </c>
      <c r="AB149" s="3">
        <f t="shared" si="73"/>
        <v>1.9077901430842608</v>
      </c>
      <c r="AC149">
        <v>66</v>
      </c>
      <c r="AD149" s="3">
        <f t="shared" si="74"/>
        <v>10.492845786963434</v>
      </c>
      <c r="AE149">
        <v>44</v>
      </c>
      <c r="AF149" s="3">
        <f t="shared" si="75"/>
        <v>6.995230524642289</v>
      </c>
      <c r="AG149">
        <v>32</v>
      </c>
      <c r="AH149" s="3">
        <f t="shared" si="76"/>
        <v>5.0874403815580287</v>
      </c>
      <c r="AI149">
        <v>151</v>
      </c>
      <c r="AJ149" s="3">
        <f t="shared" si="77"/>
        <v>24.006359300476948</v>
      </c>
      <c r="AK149">
        <v>160</v>
      </c>
      <c r="AL149" s="3">
        <f t="shared" si="78"/>
        <v>25.437201907790143</v>
      </c>
      <c r="AM149">
        <v>21</v>
      </c>
      <c r="AN149" s="3">
        <f t="shared" si="79"/>
        <v>3.3386327503974562</v>
      </c>
      <c r="AO149">
        <v>24</v>
      </c>
      <c r="AP149" s="3">
        <f t="shared" si="80"/>
        <v>3.8155802861685215</v>
      </c>
      <c r="AQ149">
        <v>26</v>
      </c>
      <c r="AR149" s="3">
        <f t="shared" si="81"/>
        <v>4.1335453100158981</v>
      </c>
      <c r="AS149">
        <v>69</v>
      </c>
      <c r="AT149" s="3">
        <f t="shared" si="82"/>
        <v>10.9697933227345</v>
      </c>
      <c r="AU149" t="s">
        <v>370</v>
      </c>
      <c r="AV149" s="72">
        <f>Дума_партии[[#This Row],[КОИБ]]</f>
        <v>2017</v>
      </c>
      <c r="AW149" s="1" t="str">
        <f>IF(Дума_партии[[#This Row],[Наблюдателей]]=0,"",Дума_партии[[#This Row],[Наблюдателей]])</f>
        <v/>
      </c>
      <c r="AX149"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-4.5890410958904226</v>
      </c>
      <c r="AY149" s="10">
        <f>2*(Мособлдума_партии[[#This Row],[6. Всероссийская политическая партия "ЕДИНАЯ РОССИЯ"]]-(AB$203/100)*Мособлдума_партии[[#This Row],[Число действительных бюллетеней]])</f>
        <v>-6.7000000000000455</v>
      </c>
      <c r="AZ149" s="10">
        <f>(Мособлдума_партии[[#This Row],[Вброс]]+Мособлдума_партии[[#This Row],[Перекладывание]])/2</f>
        <v>-5.6445205479452341</v>
      </c>
    </row>
    <row r="150" spans="2:52" x14ac:dyDescent="0.4">
      <c r="B150" t="s">
        <v>74</v>
      </c>
      <c r="C150" t="s">
        <v>366</v>
      </c>
      <c r="D150" t="s">
        <v>227</v>
      </c>
      <c r="E150" t="s">
        <v>278</v>
      </c>
      <c r="F150" s="8">
        <f t="shared" ca="1" si="67"/>
        <v>2024</v>
      </c>
      <c r="G150" s="8" t="str">
        <f>Дума_партии[[#This Row],[Местоположение]]</f>
        <v>Одинцово</v>
      </c>
      <c r="H150" s="2" t="str">
        <f>LEFT(Мособлдума_партии[[#This Row],[tik]],4)&amp;"."&amp;IF(ISNUMBER(VALUE(RIGHT(Мособлдума_партии[[#This Row],[tik]]))),RIGHT(Мособлдума_партии[[#This Row],[tik]]),"")</f>
        <v>Один.2</v>
      </c>
      <c r="I150">
        <v>2296</v>
      </c>
      <c r="J150" s="8">
        <f>Мособлдума_партии[[#This Row],[Число избирателей, внесенных в список на момент окончания голосования]]</f>
        <v>2296</v>
      </c>
      <c r="K150">
        <v>1800</v>
      </c>
      <c r="L150" s="1"/>
      <c r="M150">
        <v>799</v>
      </c>
      <c r="N150">
        <v>38</v>
      </c>
      <c r="O150" s="3">
        <f t="shared" si="68"/>
        <v>36.454703832752614</v>
      </c>
      <c r="P150" s="3">
        <f t="shared" si="69"/>
        <v>1.6550522648083623</v>
      </c>
      <c r="Q150">
        <v>963</v>
      </c>
      <c r="R150">
        <v>38</v>
      </c>
      <c r="S150">
        <v>796</v>
      </c>
      <c r="T150" s="1">
        <f t="shared" si="70"/>
        <v>834</v>
      </c>
      <c r="U150" s="3">
        <f t="shared" si="71"/>
        <v>4.5563549160671464</v>
      </c>
      <c r="V150">
        <v>22</v>
      </c>
      <c r="W150" s="3">
        <f t="shared" si="72"/>
        <v>2.6378896882494005</v>
      </c>
      <c r="X150">
        <v>812</v>
      </c>
      <c r="Y150">
        <v>0</v>
      </c>
      <c r="Z150">
        <v>0</v>
      </c>
      <c r="AA150">
        <v>17</v>
      </c>
      <c r="AB150" s="3">
        <f t="shared" si="73"/>
        <v>2.0383693045563551</v>
      </c>
      <c r="AC150">
        <v>83</v>
      </c>
      <c r="AD150" s="3">
        <f t="shared" si="74"/>
        <v>9.9520383693045567</v>
      </c>
      <c r="AE150">
        <v>52</v>
      </c>
      <c r="AF150" s="3">
        <f t="shared" si="75"/>
        <v>6.2350119904076742</v>
      </c>
      <c r="AG150">
        <v>54</v>
      </c>
      <c r="AH150" s="3">
        <f t="shared" si="76"/>
        <v>6.4748201438848918</v>
      </c>
      <c r="AI150">
        <v>200</v>
      </c>
      <c r="AJ150" s="3">
        <f t="shared" si="77"/>
        <v>23.980815347721823</v>
      </c>
      <c r="AK150">
        <v>248</v>
      </c>
      <c r="AL150" s="3">
        <f t="shared" si="78"/>
        <v>29.73621103117506</v>
      </c>
      <c r="AM150">
        <v>25</v>
      </c>
      <c r="AN150" s="3">
        <f t="shared" si="79"/>
        <v>2.9976019184652278</v>
      </c>
      <c r="AO150">
        <v>23</v>
      </c>
      <c r="AP150" s="3">
        <f t="shared" si="80"/>
        <v>2.7577937649880098</v>
      </c>
      <c r="AQ150">
        <v>22</v>
      </c>
      <c r="AR150" s="3">
        <f t="shared" si="81"/>
        <v>2.6378896882494005</v>
      </c>
      <c r="AS150">
        <v>88</v>
      </c>
      <c r="AT150" s="3">
        <f t="shared" si="82"/>
        <v>10.551558752997602</v>
      </c>
      <c r="AU150" t="s">
        <v>370</v>
      </c>
      <c r="AV150" s="72">
        <f>Дума_партии[[#This Row],[КОИБ]]</f>
        <v>2017</v>
      </c>
      <c r="AW150" s="1">
        <f>IF(Дума_партии[[#This Row],[Наблюдателей]]=0,"",Дума_партии[[#This Row],[Наблюдателей]])</f>
        <v>1</v>
      </c>
      <c r="AX150"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39.397260273972591</v>
      </c>
      <c r="AY150" s="10">
        <f>2*(Мособлдума_партии[[#This Row],[6. Всероссийская политическая партия "ЕДИНАЯ РОССИЯ"]]-(AB$203/100)*Мособлдума_партии[[#This Row],[Число действительных бюллетеней]])</f>
        <v>57.519999999999982</v>
      </c>
      <c r="AZ150" s="10">
        <f>(Мособлдума_партии[[#This Row],[Вброс]]+Мособлдума_партии[[#This Row],[Перекладывание]])/2</f>
        <v>48.458630136986287</v>
      </c>
    </row>
    <row r="151" spans="2:52" x14ac:dyDescent="0.4">
      <c r="B151" t="s">
        <v>74</v>
      </c>
      <c r="C151" t="s">
        <v>366</v>
      </c>
      <c r="D151" t="s">
        <v>227</v>
      </c>
      <c r="E151" t="s">
        <v>279</v>
      </c>
      <c r="F151" s="8">
        <f t="shared" ca="1" si="67"/>
        <v>2025</v>
      </c>
      <c r="G151" s="8" t="str">
        <f>Дума_партии[[#This Row],[Местоположение]]</f>
        <v>Одинцово</v>
      </c>
      <c r="H151" s="2" t="str">
        <f>LEFT(Мособлдума_партии[[#This Row],[tik]],4)&amp;"."&amp;IF(ISNUMBER(VALUE(RIGHT(Мособлдума_партии[[#This Row],[tik]]))),RIGHT(Мособлдума_партии[[#This Row],[tik]]),"")</f>
        <v>Один.2</v>
      </c>
      <c r="I151">
        <v>2186</v>
      </c>
      <c r="J151" s="8">
        <f>Мособлдума_партии[[#This Row],[Число избирателей, внесенных в список на момент окончания голосования]]</f>
        <v>2186</v>
      </c>
      <c r="K151">
        <v>1800</v>
      </c>
      <c r="L151" s="1"/>
      <c r="M151">
        <v>728</v>
      </c>
      <c r="N151">
        <v>117</v>
      </c>
      <c r="O151" s="3">
        <f t="shared" si="68"/>
        <v>38.655077767612077</v>
      </c>
      <c r="P151" s="3">
        <f t="shared" si="69"/>
        <v>5.3522415370539802</v>
      </c>
      <c r="Q151">
        <v>955</v>
      </c>
      <c r="R151">
        <v>117</v>
      </c>
      <c r="S151">
        <v>727</v>
      </c>
      <c r="T151" s="1">
        <f t="shared" si="70"/>
        <v>844</v>
      </c>
      <c r="U151" s="3">
        <f t="shared" si="71"/>
        <v>13.862559241706162</v>
      </c>
      <c r="V151">
        <v>26</v>
      </c>
      <c r="W151" s="3">
        <f t="shared" si="72"/>
        <v>3.080568720379147</v>
      </c>
      <c r="X151">
        <v>818</v>
      </c>
      <c r="Y151">
        <v>0</v>
      </c>
      <c r="Z151">
        <v>0</v>
      </c>
      <c r="AA151">
        <v>11</v>
      </c>
      <c r="AB151" s="3">
        <f t="shared" si="73"/>
        <v>1.3033175355450237</v>
      </c>
      <c r="AC151">
        <v>58</v>
      </c>
      <c r="AD151" s="3">
        <f t="shared" si="74"/>
        <v>6.8720379146919433</v>
      </c>
      <c r="AE151">
        <v>56</v>
      </c>
      <c r="AF151" s="3">
        <f t="shared" si="75"/>
        <v>6.6350710900473935</v>
      </c>
      <c r="AG151">
        <v>39</v>
      </c>
      <c r="AH151" s="3">
        <f t="shared" si="76"/>
        <v>4.62085308056872</v>
      </c>
      <c r="AI151">
        <v>216</v>
      </c>
      <c r="AJ151" s="3">
        <f t="shared" si="77"/>
        <v>25.592417061611375</v>
      </c>
      <c r="AK151">
        <v>282</v>
      </c>
      <c r="AL151" s="3">
        <f t="shared" si="78"/>
        <v>33.412322274881518</v>
      </c>
      <c r="AM151">
        <v>29</v>
      </c>
      <c r="AN151" s="3">
        <f t="shared" si="79"/>
        <v>3.4360189573459716</v>
      </c>
      <c r="AO151">
        <v>31</v>
      </c>
      <c r="AP151" s="3">
        <f t="shared" si="80"/>
        <v>3.6729857819905214</v>
      </c>
      <c r="AQ151">
        <v>24</v>
      </c>
      <c r="AR151" s="3">
        <f t="shared" si="81"/>
        <v>2.8436018957345972</v>
      </c>
      <c r="AS151">
        <v>72</v>
      </c>
      <c r="AT151" s="3">
        <f t="shared" si="82"/>
        <v>8.5308056872037916</v>
      </c>
      <c r="AU151" t="s">
        <v>370</v>
      </c>
      <c r="AV151" s="72">
        <f>Дума_партии[[#This Row],[КОИБ]]</f>
        <v>2017</v>
      </c>
      <c r="AW151" s="1" t="str">
        <f>IF(Дума_партии[[#This Row],[Наблюдателей]]=0,"",Дума_партии[[#This Row],[Наблюдателей]])</f>
        <v/>
      </c>
      <c r="AX151"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83.753424657534225</v>
      </c>
      <c r="AY151" s="10">
        <f>2*(Мособлдума_партии[[#This Row],[6. Всероссийская политическая партия "ЕДИНАЯ РОССИЯ"]]-(AB$203/100)*Мособлдума_партии[[#This Row],[Число действительных бюллетеней]])</f>
        <v>122.27999999999997</v>
      </c>
      <c r="AZ151" s="10">
        <f>(Мособлдума_партии[[#This Row],[Вброс]]+Мособлдума_партии[[#This Row],[Перекладывание]])/2</f>
        <v>103.0167123287671</v>
      </c>
    </row>
    <row r="152" spans="2:52" x14ac:dyDescent="0.4">
      <c r="B152" t="s">
        <v>74</v>
      </c>
      <c r="C152" t="s">
        <v>366</v>
      </c>
      <c r="D152" t="s">
        <v>227</v>
      </c>
      <c r="E152" t="s">
        <v>280</v>
      </c>
      <c r="F152" s="8">
        <f t="shared" ca="1" si="67"/>
        <v>2026</v>
      </c>
      <c r="G152" s="8" t="str">
        <f>Дума_партии[[#This Row],[Местоположение]]</f>
        <v>Одинцово</v>
      </c>
      <c r="H152" s="2" t="str">
        <f>LEFT(Мособлдума_партии[[#This Row],[tik]],4)&amp;"."&amp;IF(ISNUMBER(VALUE(RIGHT(Мособлдума_партии[[#This Row],[tik]]))),RIGHT(Мособлдума_партии[[#This Row],[tik]]),"")</f>
        <v>Один.2</v>
      </c>
      <c r="I152">
        <v>2642</v>
      </c>
      <c r="J152" s="8">
        <f>Мособлдума_партии[[#This Row],[Число избирателей, внесенных в список на момент окончания голосования]]</f>
        <v>2642</v>
      </c>
      <c r="K152">
        <v>2000</v>
      </c>
      <c r="L152" s="1"/>
      <c r="M152">
        <v>674</v>
      </c>
      <c r="N152">
        <v>22</v>
      </c>
      <c r="O152" s="3">
        <f t="shared" si="68"/>
        <v>26.343679031037095</v>
      </c>
      <c r="P152" s="3">
        <f t="shared" si="69"/>
        <v>0.8327024981074943</v>
      </c>
      <c r="Q152">
        <v>1304</v>
      </c>
      <c r="R152">
        <v>22</v>
      </c>
      <c r="S152">
        <v>674</v>
      </c>
      <c r="T152" s="1">
        <f t="shared" si="70"/>
        <v>696</v>
      </c>
      <c r="U152" s="3">
        <f t="shared" si="71"/>
        <v>3.1609195402298851</v>
      </c>
      <c r="V152">
        <v>16</v>
      </c>
      <c r="W152" s="3">
        <f t="shared" si="72"/>
        <v>2.2988505747126435</v>
      </c>
      <c r="X152">
        <v>680</v>
      </c>
      <c r="Y152">
        <v>0</v>
      </c>
      <c r="Z152">
        <v>0</v>
      </c>
      <c r="AA152">
        <v>7</v>
      </c>
      <c r="AB152" s="3">
        <f t="shared" si="73"/>
        <v>1.0057471264367817</v>
      </c>
      <c r="AC152">
        <v>59</v>
      </c>
      <c r="AD152" s="3">
        <f t="shared" si="74"/>
        <v>8.4770114942528743</v>
      </c>
      <c r="AE152">
        <v>65</v>
      </c>
      <c r="AF152" s="3">
        <f t="shared" si="75"/>
        <v>9.3390804597701145</v>
      </c>
      <c r="AG152">
        <v>38</v>
      </c>
      <c r="AH152" s="3">
        <f t="shared" si="76"/>
        <v>5.4597701149425291</v>
      </c>
      <c r="AI152">
        <v>174</v>
      </c>
      <c r="AJ152" s="3">
        <f t="shared" si="77"/>
        <v>25</v>
      </c>
      <c r="AK152">
        <v>185</v>
      </c>
      <c r="AL152" s="3">
        <f t="shared" si="78"/>
        <v>26.580459770114942</v>
      </c>
      <c r="AM152">
        <v>21</v>
      </c>
      <c r="AN152" s="3">
        <f t="shared" si="79"/>
        <v>3.0172413793103448</v>
      </c>
      <c r="AO152">
        <v>28</v>
      </c>
      <c r="AP152" s="3">
        <f t="shared" si="80"/>
        <v>4.0229885057471266</v>
      </c>
      <c r="AQ152">
        <v>33</v>
      </c>
      <c r="AR152" s="3">
        <f t="shared" si="81"/>
        <v>4.7413793103448274</v>
      </c>
      <c r="AS152">
        <v>70</v>
      </c>
      <c r="AT152" s="3">
        <f t="shared" si="82"/>
        <v>10.057471264367816</v>
      </c>
      <c r="AU152" t="s">
        <v>370</v>
      </c>
      <c r="AV152" s="72">
        <f>Дума_партии[[#This Row],[КОИБ]]</f>
        <v>2017</v>
      </c>
      <c r="AW152" s="1">
        <f>IF(Дума_партии[[#This Row],[Наблюдателей]]=0,"",Дума_партии[[#This Row],[Наблюдателей]])</f>
        <v>1</v>
      </c>
      <c r="AX152"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1.9178082191780561</v>
      </c>
      <c r="AY152" s="10">
        <f>2*(Мособлдума_партии[[#This Row],[6. Всероссийская политическая партия "ЕДИНАЯ РОССИЯ"]]-(AB$203/100)*Мособлдума_партии[[#This Row],[Число действительных бюллетеней]])</f>
        <v>2.7999999999999545</v>
      </c>
      <c r="AZ152" s="10">
        <f>(Мособлдума_партии[[#This Row],[Вброс]]+Мособлдума_партии[[#This Row],[Перекладывание]])/2</f>
        <v>2.3589041095890053</v>
      </c>
    </row>
    <row r="153" spans="2:52" x14ac:dyDescent="0.4">
      <c r="B153" t="s">
        <v>74</v>
      </c>
      <c r="C153" t="s">
        <v>366</v>
      </c>
      <c r="D153" t="s">
        <v>227</v>
      </c>
      <c r="E153" t="s">
        <v>281</v>
      </c>
      <c r="F153" s="8">
        <f t="shared" ca="1" si="67"/>
        <v>2027</v>
      </c>
      <c r="G153" s="8" t="str">
        <f>Дума_партии[[#This Row],[Местоположение]]</f>
        <v>Одинцово</v>
      </c>
      <c r="H153" s="2" t="str">
        <f>LEFT(Мособлдума_партии[[#This Row],[tik]],4)&amp;"."&amp;IF(ISNUMBER(VALUE(RIGHT(Мособлдума_партии[[#This Row],[tik]]))),RIGHT(Мособлдума_партии[[#This Row],[tik]]),"")</f>
        <v>Один.2</v>
      </c>
      <c r="I153">
        <v>1775</v>
      </c>
      <c r="J153" s="8">
        <f>Мособлдума_партии[[#This Row],[Число избирателей, внесенных в список на момент окончания голосования]]</f>
        <v>1775</v>
      </c>
      <c r="K153">
        <v>1500</v>
      </c>
      <c r="L153" s="1"/>
      <c r="M153">
        <v>496</v>
      </c>
      <c r="N153">
        <v>0</v>
      </c>
      <c r="O153" s="3">
        <f t="shared" si="68"/>
        <v>27.943661971830984</v>
      </c>
      <c r="P153" s="3">
        <f t="shared" si="69"/>
        <v>0</v>
      </c>
      <c r="Q153">
        <v>1003</v>
      </c>
      <c r="R153">
        <v>0</v>
      </c>
      <c r="S153">
        <v>496</v>
      </c>
      <c r="T153" s="1">
        <f t="shared" si="70"/>
        <v>496</v>
      </c>
      <c r="U153" s="3">
        <f t="shared" si="71"/>
        <v>0</v>
      </c>
      <c r="V153">
        <v>10</v>
      </c>
      <c r="W153" s="3">
        <f t="shared" si="72"/>
        <v>2.0161290322580645</v>
      </c>
      <c r="X153">
        <v>486</v>
      </c>
      <c r="Y153">
        <v>1</v>
      </c>
      <c r="Z153">
        <v>0</v>
      </c>
      <c r="AA153">
        <v>12</v>
      </c>
      <c r="AB153" s="3">
        <f t="shared" si="73"/>
        <v>2.4193548387096775</v>
      </c>
      <c r="AC153">
        <v>40</v>
      </c>
      <c r="AD153" s="3">
        <f t="shared" si="74"/>
        <v>8.064516129032258</v>
      </c>
      <c r="AE153">
        <v>54</v>
      </c>
      <c r="AF153" s="3">
        <f t="shared" si="75"/>
        <v>10.887096774193548</v>
      </c>
      <c r="AG153">
        <v>14</v>
      </c>
      <c r="AH153" s="3">
        <f t="shared" si="76"/>
        <v>2.8225806451612905</v>
      </c>
      <c r="AI153">
        <v>144</v>
      </c>
      <c r="AJ153" s="3">
        <f t="shared" si="77"/>
        <v>29.032258064516128</v>
      </c>
      <c r="AK153">
        <v>110</v>
      </c>
      <c r="AL153" s="3">
        <f t="shared" si="78"/>
        <v>22.177419354838708</v>
      </c>
      <c r="AM153">
        <v>20</v>
      </c>
      <c r="AN153" s="3">
        <f t="shared" si="79"/>
        <v>4.032258064516129</v>
      </c>
      <c r="AO153">
        <v>23</v>
      </c>
      <c r="AP153" s="3">
        <f t="shared" si="80"/>
        <v>4.637096774193548</v>
      </c>
      <c r="AQ153">
        <v>18</v>
      </c>
      <c r="AR153" s="3">
        <f t="shared" si="81"/>
        <v>3.629032258064516</v>
      </c>
      <c r="AS153">
        <v>51</v>
      </c>
      <c r="AT153" s="3">
        <f t="shared" si="82"/>
        <v>10.28225806451613</v>
      </c>
      <c r="AU153" t="s">
        <v>370</v>
      </c>
      <c r="AV153" s="72">
        <f>Дума_партии[[#This Row],[КОИБ]]</f>
        <v>2017</v>
      </c>
      <c r="AW153" s="1">
        <f>IF(Дума_партии[[#This Row],[Наблюдателей]]=0,"",Дума_партии[[#This Row],[Наблюдателей]])</f>
        <v>1</v>
      </c>
      <c r="AX153"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-29.068493150684958</v>
      </c>
      <c r="AY153" s="10">
        <f>2*(Мособлдума_партии[[#This Row],[6. Всероссийская политическая партия "ЕДИНАЯ РОССИЯ"]]-(AB$203/100)*Мособлдума_партии[[#This Row],[Число действительных бюллетеней]])</f>
        <v>-42.44</v>
      </c>
      <c r="AZ153" s="10">
        <f>(Мособлдума_партии[[#This Row],[Вброс]]+Мособлдума_партии[[#This Row],[Перекладывание]])/2</f>
        <v>-35.754246575342478</v>
      </c>
    </row>
    <row r="154" spans="2:52" x14ac:dyDescent="0.4">
      <c r="B154" t="s">
        <v>74</v>
      </c>
      <c r="C154" t="s">
        <v>366</v>
      </c>
      <c r="D154" t="s">
        <v>227</v>
      </c>
      <c r="E154" t="s">
        <v>282</v>
      </c>
      <c r="F154" s="8">
        <f t="shared" ca="1" si="67"/>
        <v>2028</v>
      </c>
      <c r="G154" s="8" t="str">
        <f>Дума_партии[[#This Row],[Местоположение]]</f>
        <v>Одинцово</v>
      </c>
      <c r="H154" s="2" t="str">
        <f>LEFT(Мособлдума_партии[[#This Row],[tik]],4)&amp;"."&amp;IF(ISNUMBER(VALUE(RIGHT(Мособлдума_партии[[#This Row],[tik]]))),RIGHT(Мособлдума_партии[[#This Row],[tik]]),"")</f>
        <v>Один.2</v>
      </c>
      <c r="I154">
        <v>1894</v>
      </c>
      <c r="J154" s="8">
        <f>Мособлдума_партии[[#This Row],[Число избирателей, внесенных в список на момент окончания голосования]]</f>
        <v>1894</v>
      </c>
      <c r="K154">
        <v>1500</v>
      </c>
      <c r="L154" s="1"/>
      <c r="M154">
        <v>577</v>
      </c>
      <c r="N154">
        <v>1</v>
      </c>
      <c r="O154" s="3">
        <f t="shared" si="68"/>
        <v>30.517423442449843</v>
      </c>
      <c r="P154" s="3">
        <f t="shared" si="69"/>
        <v>5.2798310454065467E-2</v>
      </c>
      <c r="Q154">
        <v>922</v>
      </c>
      <c r="R154">
        <v>1</v>
      </c>
      <c r="S154">
        <v>577</v>
      </c>
      <c r="T154" s="1">
        <f t="shared" si="70"/>
        <v>578</v>
      </c>
      <c r="U154" s="3">
        <f t="shared" si="71"/>
        <v>0.17301038062283736</v>
      </c>
      <c r="V154">
        <v>16</v>
      </c>
      <c r="W154" s="3">
        <f t="shared" si="72"/>
        <v>2.7681660899653977</v>
      </c>
      <c r="X154">
        <v>562</v>
      </c>
      <c r="Y154">
        <v>0</v>
      </c>
      <c r="Z154">
        <v>0</v>
      </c>
      <c r="AA154">
        <v>11</v>
      </c>
      <c r="AB154" s="3">
        <f t="shared" si="73"/>
        <v>1.9031141868512111</v>
      </c>
      <c r="AC154">
        <v>43</v>
      </c>
      <c r="AD154" s="3">
        <f t="shared" si="74"/>
        <v>7.4394463667820068</v>
      </c>
      <c r="AE154">
        <v>48</v>
      </c>
      <c r="AF154" s="3">
        <f t="shared" si="75"/>
        <v>8.3044982698961931</v>
      </c>
      <c r="AG154">
        <v>15</v>
      </c>
      <c r="AH154" s="3">
        <f t="shared" si="76"/>
        <v>2.5951557093425603</v>
      </c>
      <c r="AI154">
        <v>175</v>
      </c>
      <c r="AJ154" s="3">
        <f t="shared" si="77"/>
        <v>30.27681660899654</v>
      </c>
      <c r="AK154">
        <v>139</v>
      </c>
      <c r="AL154" s="3">
        <f t="shared" si="78"/>
        <v>24.048442906574394</v>
      </c>
      <c r="AM154">
        <v>27</v>
      </c>
      <c r="AN154" s="3">
        <f t="shared" si="79"/>
        <v>4.6712802768166091</v>
      </c>
      <c r="AO154">
        <v>32</v>
      </c>
      <c r="AP154" s="3">
        <f t="shared" si="80"/>
        <v>5.5363321799307954</v>
      </c>
      <c r="AQ154">
        <v>14</v>
      </c>
      <c r="AR154" s="3">
        <f t="shared" si="81"/>
        <v>2.422145328719723</v>
      </c>
      <c r="AS154">
        <v>58</v>
      </c>
      <c r="AT154" s="3">
        <f t="shared" si="82"/>
        <v>10.034602076124568</v>
      </c>
      <c r="AU154" t="s">
        <v>370</v>
      </c>
      <c r="AV154" s="72">
        <f>Дума_партии[[#This Row],[КОИБ]]</f>
        <v>2017</v>
      </c>
      <c r="AW154" s="1" t="str">
        <f>IF(Дума_партии[[#This Row],[Наблюдателей]]=0,"",Дума_партии[[#This Row],[Наблюдателей]])</f>
        <v/>
      </c>
      <c r="AX154"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-17.452054794520564</v>
      </c>
      <c r="AY154" s="10">
        <f>2*(Мособлдума_партии[[#This Row],[6. Всероссийская политическая партия "ЕДИНАЯ РОССИЯ"]]-(AB$203/100)*Мособлдума_партии[[#This Row],[Число действительных бюллетеней]])</f>
        <v>-25.480000000000018</v>
      </c>
      <c r="AZ154" s="10">
        <f>(Мособлдума_партии[[#This Row],[Вброс]]+Мособлдума_партии[[#This Row],[Перекладывание]])/2</f>
        <v>-21.466027397260291</v>
      </c>
    </row>
    <row r="155" spans="2:52" x14ac:dyDescent="0.4">
      <c r="B155" t="s">
        <v>74</v>
      </c>
      <c r="C155" t="s">
        <v>366</v>
      </c>
      <c r="D155" t="s">
        <v>227</v>
      </c>
      <c r="E155" t="s">
        <v>283</v>
      </c>
      <c r="F155" s="8">
        <f t="shared" ca="1" si="67"/>
        <v>2029</v>
      </c>
      <c r="G155" s="8" t="str">
        <f>Дума_партии[[#This Row],[Местоположение]]</f>
        <v>Одинцово</v>
      </c>
      <c r="H155" s="2" t="str">
        <f>LEFT(Мособлдума_партии[[#This Row],[tik]],4)&amp;"."&amp;IF(ISNUMBER(VALUE(RIGHT(Мособлдума_партии[[#This Row],[tik]]))),RIGHT(Мособлдума_партии[[#This Row],[tik]]),"")</f>
        <v>Один.2</v>
      </c>
      <c r="I155">
        <v>2070</v>
      </c>
      <c r="J155" s="8">
        <f>Мособлдума_партии[[#This Row],[Число избирателей, внесенных в список на момент окончания голосования]]</f>
        <v>2070</v>
      </c>
      <c r="K155">
        <v>1800</v>
      </c>
      <c r="L155" s="1"/>
      <c r="M155">
        <v>497</v>
      </c>
      <c r="N155">
        <v>6</v>
      </c>
      <c r="O155" s="3">
        <f t="shared" si="68"/>
        <v>24.29951690821256</v>
      </c>
      <c r="P155" s="3">
        <f t="shared" si="69"/>
        <v>0.28985507246376813</v>
      </c>
      <c r="Q155">
        <v>1297</v>
      </c>
      <c r="R155">
        <v>6</v>
      </c>
      <c r="S155">
        <v>497</v>
      </c>
      <c r="T155" s="1">
        <f t="shared" si="70"/>
        <v>503</v>
      </c>
      <c r="U155" s="3">
        <f t="shared" si="71"/>
        <v>1.1928429423459244</v>
      </c>
      <c r="V155">
        <v>13</v>
      </c>
      <c r="W155" s="3">
        <f t="shared" si="72"/>
        <v>2.5844930417495031</v>
      </c>
      <c r="X155">
        <v>490</v>
      </c>
      <c r="Y155">
        <v>0</v>
      </c>
      <c r="Z155">
        <v>0</v>
      </c>
      <c r="AA155">
        <v>7</v>
      </c>
      <c r="AB155" s="3">
        <f t="shared" si="73"/>
        <v>1.3916500994035785</v>
      </c>
      <c r="AC155">
        <v>54</v>
      </c>
      <c r="AD155" s="3">
        <f t="shared" si="74"/>
        <v>10.735586481113319</v>
      </c>
      <c r="AE155">
        <v>54</v>
      </c>
      <c r="AF155" s="3">
        <f t="shared" si="75"/>
        <v>10.735586481113319</v>
      </c>
      <c r="AG155">
        <v>25</v>
      </c>
      <c r="AH155" s="3">
        <f t="shared" si="76"/>
        <v>4.9701789264413518</v>
      </c>
      <c r="AI155">
        <v>142</v>
      </c>
      <c r="AJ155" s="3">
        <f t="shared" si="77"/>
        <v>28.230616302186878</v>
      </c>
      <c r="AK155">
        <v>118</v>
      </c>
      <c r="AL155" s="3">
        <f t="shared" si="78"/>
        <v>23.459244532803179</v>
      </c>
      <c r="AM155">
        <v>19</v>
      </c>
      <c r="AN155" s="3">
        <f t="shared" si="79"/>
        <v>3.7773359840954273</v>
      </c>
      <c r="AO155">
        <v>12</v>
      </c>
      <c r="AP155" s="3">
        <f t="shared" si="80"/>
        <v>2.3856858846918487</v>
      </c>
      <c r="AQ155">
        <v>8</v>
      </c>
      <c r="AR155" s="3">
        <f t="shared" si="81"/>
        <v>1.5904572564612327</v>
      </c>
      <c r="AS155">
        <v>51</v>
      </c>
      <c r="AT155" s="3">
        <f t="shared" si="82"/>
        <v>10.139165009940358</v>
      </c>
      <c r="AU155" t="s">
        <v>370</v>
      </c>
      <c r="AV155" s="72" t="str">
        <f>Дума_партии[[#This Row],[КОИБ]]</f>
        <v>N</v>
      </c>
      <c r="AW155" s="1" t="str">
        <f>IF(Дума_партии[[#This Row],[Наблюдателей]]=0,"",Дума_партии[[#This Row],[Наблюдателей]])</f>
        <v/>
      </c>
      <c r="AX155"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-19.589041095890423</v>
      </c>
      <c r="AY155" s="10">
        <f>2*(Мособлдума_партии[[#This Row],[6. Всероссийская политическая партия "ЕДИНАЯ РОССИЯ"]]-(AB$203/100)*Мособлдума_партии[[#This Row],[Число действительных бюллетеней]])</f>
        <v>-28.600000000000023</v>
      </c>
      <c r="AZ155" s="10">
        <f>(Мособлдума_партии[[#This Row],[Вброс]]+Мособлдума_партии[[#This Row],[Перекладывание]])/2</f>
        <v>-24.094520547945223</v>
      </c>
    </row>
    <row r="156" spans="2:52" x14ac:dyDescent="0.4">
      <c r="B156" t="s">
        <v>74</v>
      </c>
      <c r="C156" t="s">
        <v>366</v>
      </c>
      <c r="D156" t="s">
        <v>227</v>
      </c>
      <c r="E156" t="s">
        <v>284</v>
      </c>
      <c r="F156" s="8">
        <f t="shared" ref="F156:F183" ca="1" si="83">SUMPRODUCT(MID(0&amp;E156, LARGE(INDEX(ISNUMBER(--MID(E156, ROW(INDIRECT("1:"&amp;LEN(E156))), 1)) * ROW(INDIRECT("1:"&amp;LEN(E156))), 0), ROW(INDIRECT("1:"&amp;LEN(E156))))+1, 1) * 10^ROW(INDIRECT("1:"&amp;LEN(E156)))/10)</f>
        <v>2030</v>
      </c>
      <c r="G156" s="8" t="str">
        <f>Дума_партии[[#This Row],[Местоположение]]</f>
        <v>Одинцово</v>
      </c>
      <c r="H156" s="2" t="str">
        <f>LEFT(Мособлдума_партии[[#This Row],[tik]],4)&amp;"."&amp;IF(ISNUMBER(VALUE(RIGHT(Мособлдума_партии[[#This Row],[tik]]))),RIGHT(Мособлдума_партии[[#This Row],[tik]]),"")</f>
        <v>Один.2</v>
      </c>
      <c r="I156">
        <v>2196</v>
      </c>
      <c r="J156" s="8">
        <f>Мособлдума_партии[[#This Row],[Число избирателей, внесенных в список на момент окончания голосования]]</f>
        <v>2196</v>
      </c>
      <c r="K156">
        <v>1800</v>
      </c>
      <c r="L156" s="1"/>
      <c r="M156">
        <v>564</v>
      </c>
      <c r="N156">
        <v>3</v>
      </c>
      <c r="O156" s="3">
        <f t="shared" ref="O156:O183" si="84">100*(M156+N156)/I156</f>
        <v>25.819672131147541</v>
      </c>
      <c r="P156" s="3">
        <f t="shared" ref="P156:P183" si="85">100*N156/I156</f>
        <v>0.13661202185792351</v>
      </c>
      <c r="Q156">
        <v>1233</v>
      </c>
      <c r="R156">
        <v>3</v>
      </c>
      <c r="S156">
        <v>564</v>
      </c>
      <c r="T156" s="1">
        <f t="shared" ref="T156:T183" si="86">R156+S156</f>
        <v>567</v>
      </c>
      <c r="U156" s="3">
        <f t="shared" ref="U156:U183" si="87">100*R156/T156</f>
        <v>0.52910052910052907</v>
      </c>
      <c r="V156">
        <v>16</v>
      </c>
      <c r="W156" s="3">
        <f t="shared" ref="W156:W183" si="88">100*V156/T156</f>
        <v>2.821869488536155</v>
      </c>
      <c r="X156">
        <v>551</v>
      </c>
      <c r="Y156">
        <v>0</v>
      </c>
      <c r="Z156">
        <v>0</v>
      </c>
      <c r="AA156">
        <v>13</v>
      </c>
      <c r="AB156" s="3">
        <f t="shared" ref="AB156:AB183" si="89">100*AA156/$T156</f>
        <v>2.2927689594356262</v>
      </c>
      <c r="AC156">
        <v>61</v>
      </c>
      <c r="AD156" s="3">
        <f t="shared" ref="AD156:AD183" si="90">100*AC156/$T156</f>
        <v>10.758377425044092</v>
      </c>
      <c r="AE156">
        <v>83</v>
      </c>
      <c r="AF156" s="3">
        <f t="shared" ref="AF156:AF183" si="91">100*AE156/$T156</f>
        <v>14.638447971781305</v>
      </c>
      <c r="AG156">
        <v>25</v>
      </c>
      <c r="AH156" s="3">
        <f t="shared" ref="AH156:AH183" si="92">100*AG156/$T156</f>
        <v>4.4091710758377429</v>
      </c>
      <c r="AI156">
        <v>141</v>
      </c>
      <c r="AJ156" s="3">
        <f t="shared" ref="AJ156:AJ183" si="93">100*AI156/$T156</f>
        <v>24.867724867724867</v>
      </c>
      <c r="AK156">
        <v>118</v>
      </c>
      <c r="AL156" s="3">
        <f t="shared" ref="AL156:AL183" si="94">100*AK156/$T156</f>
        <v>20.811287477954146</v>
      </c>
      <c r="AM156">
        <v>18</v>
      </c>
      <c r="AN156" s="3">
        <f t="shared" ref="AN156:AN183" si="95">100*AM156/$T156</f>
        <v>3.1746031746031744</v>
      </c>
      <c r="AO156">
        <v>22</v>
      </c>
      <c r="AP156" s="3">
        <f t="shared" ref="AP156:AP183" si="96">100*AO156/$T156</f>
        <v>3.8800705467372132</v>
      </c>
      <c r="AQ156">
        <v>16</v>
      </c>
      <c r="AR156" s="3">
        <f t="shared" ref="AR156:AR183" si="97">100*AQ156/$T156</f>
        <v>2.821869488536155</v>
      </c>
      <c r="AS156">
        <v>54</v>
      </c>
      <c r="AT156" s="3">
        <f t="shared" ref="AT156:AT183" si="98">100*AS156/$T156</f>
        <v>9.5238095238095237</v>
      </c>
      <c r="AU156" t="s">
        <v>370</v>
      </c>
      <c r="AV156" s="72">
        <f>Дума_партии[[#This Row],[КОИБ]]</f>
        <v>2017</v>
      </c>
      <c r="AW156" s="1" t="str">
        <f>IF(Дума_партии[[#This Row],[Наблюдателей]]=0,"",Дума_партии[[#This Row],[Наблюдателей]])</f>
        <v/>
      </c>
      <c r="AX156"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-42.150684931506873</v>
      </c>
      <c r="AY156" s="10">
        <f>2*(Мособлдума_партии[[#This Row],[6. Всероссийская политическая партия "ЕДИНАЯ РОССИЯ"]]-(AB$203/100)*Мособлдума_партии[[#This Row],[Число действительных бюллетеней]])</f>
        <v>-61.54000000000002</v>
      </c>
      <c r="AZ156" s="10">
        <f>(Мособлдума_партии[[#This Row],[Вброс]]+Мособлдума_партии[[#This Row],[Перекладывание]])/2</f>
        <v>-51.845342465753447</v>
      </c>
    </row>
    <row r="157" spans="2:52" x14ac:dyDescent="0.4">
      <c r="B157" t="s">
        <v>74</v>
      </c>
      <c r="C157" t="s">
        <v>366</v>
      </c>
      <c r="D157" t="s">
        <v>227</v>
      </c>
      <c r="E157" t="s">
        <v>285</v>
      </c>
      <c r="F157" s="8">
        <f t="shared" ca="1" si="83"/>
        <v>2031</v>
      </c>
      <c r="G157" s="8" t="str">
        <f>Дума_партии[[#This Row],[Местоположение]]</f>
        <v>Одинцово</v>
      </c>
      <c r="H157" s="2" t="str">
        <f>LEFT(Мособлдума_партии[[#This Row],[tik]],4)&amp;"."&amp;IF(ISNUMBER(VALUE(RIGHT(Мособлдума_партии[[#This Row],[tik]]))),RIGHT(Мособлдума_партии[[#This Row],[tik]]),"")</f>
        <v>Один.2</v>
      </c>
      <c r="I157">
        <v>2551</v>
      </c>
      <c r="J157" s="8">
        <f>Мособлдума_партии[[#This Row],[Число избирателей, внесенных в список на момент окончания голосования]]</f>
        <v>2551</v>
      </c>
      <c r="K157">
        <v>2000</v>
      </c>
      <c r="L157" s="1"/>
      <c r="M157">
        <v>553</v>
      </c>
      <c r="N157">
        <v>4</v>
      </c>
      <c r="O157" s="3">
        <f t="shared" si="84"/>
        <v>21.834574676597413</v>
      </c>
      <c r="P157" s="3">
        <f t="shared" si="85"/>
        <v>0.15680125441003528</v>
      </c>
      <c r="Q157">
        <v>1443</v>
      </c>
      <c r="R157">
        <v>4</v>
      </c>
      <c r="S157">
        <v>553</v>
      </c>
      <c r="T157" s="1">
        <f t="shared" si="86"/>
        <v>557</v>
      </c>
      <c r="U157" s="3">
        <f t="shared" si="87"/>
        <v>0.71813285457809695</v>
      </c>
      <c r="V157">
        <v>32</v>
      </c>
      <c r="W157" s="3">
        <f t="shared" si="88"/>
        <v>5.7450628366247756</v>
      </c>
      <c r="X157">
        <v>525</v>
      </c>
      <c r="Y157">
        <v>0</v>
      </c>
      <c r="Z157">
        <v>0</v>
      </c>
      <c r="AA157">
        <v>3</v>
      </c>
      <c r="AB157" s="3">
        <f t="shared" si="89"/>
        <v>0.53859964093357271</v>
      </c>
      <c r="AC157">
        <v>46</v>
      </c>
      <c r="AD157" s="3">
        <f t="shared" si="90"/>
        <v>8.2585278276481144</v>
      </c>
      <c r="AE157">
        <v>67</v>
      </c>
      <c r="AF157" s="3">
        <f t="shared" si="91"/>
        <v>12.028725314183124</v>
      </c>
      <c r="AG157">
        <v>19</v>
      </c>
      <c r="AH157" s="3">
        <f t="shared" si="92"/>
        <v>3.4111310592459607</v>
      </c>
      <c r="AI157">
        <v>142</v>
      </c>
      <c r="AJ157" s="3">
        <f t="shared" si="93"/>
        <v>25.493716337522443</v>
      </c>
      <c r="AK157">
        <v>129</v>
      </c>
      <c r="AL157" s="3">
        <f t="shared" si="94"/>
        <v>23.159784560143628</v>
      </c>
      <c r="AM157">
        <v>17</v>
      </c>
      <c r="AN157" s="3">
        <f t="shared" si="95"/>
        <v>3.0520646319569122</v>
      </c>
      <c r="AO157">
        <v>17</v>
      </c>
      <c r="AP157" s="3">
        <f t="shared" si="96"/>
        <v>3.0520646319569122</v>
      </c>
      <c r="AQ157">
        <v>21</v>
      </c>
      <c r="AR157" s="3">
        <f t="shared" si="97"/>
        <v>3.7701974865350092</v>
      </c>
      <c r="AS157">
        <v>64</v>
      </c>
      <c r="AT157" s="3">
        <f t="shared" si="98"/>
        <v>11.490125673249551</v>
      </c>
      <c r="AU157" t="s">
        <v>370</v>
      </c>
      <c r="AV157" s="72">
        <f>Дума_партии[[#This Row],[КОИБ]]</f>
        <v>2017</v>
      </c>
      <c r="AW157" s="1">
        <f>IF(Дума_партии[[#This Row],[Наблюдателей]]=0,"",Дума_партии[[#This Row],[Наблюдателей]])</f>
        <v>1</v>
      </c>
      <c r="AX157"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-17.465753424657549</v>
      </c>
      <c r="AY157" s="10">
        <f>2*(Мособлдума_партии[[#This Row],[6. Всероссийская политическая партия "ЕДИНАЯ РОССИЯ"]]-(AB$203/100)*Мособлдума_партии[[#This Row],[Число действительных бюллетеней]])</f>
        <v>-25.5</v>
      </c>
      <c r="AZ157" s="10">
        <f>(Мособлдума_партии[[#This Row],[Вброс]]+Мособлдума_партии[[#This Row],[Перекладывание]])/2</f>
        <v>-21.482876712328775</v>
      </c>
    </row>
    <row r="158" spans="2:52" x14ac:dyDescent="0.4">
      <c r="B158" t="s">
        <v>74</v>
      </c>
      <c r="C158" t="s">
        <v>366</v>
      </c>
      <c r="D158" t="s">
        <v>227</v>
      </c>
      <c r="E158" t="s">
        <v>286</v>
      </c>
      <c r="F158" s="8">
        <f t="shared" ca="1" si="83"/>
        <v>2032</v>
      </c>
      <c r="G158" s="8" t="str">
        <f>Дума_партии[[#This Row],[Местоположение]]</f>
        <v>Одинцово</v>
      </c>
      <c r="H158" s="2" t="str">
        <f>LEFT(Мособлдума_партии[[#This Row],[tik]],4)&amp;"."&amp;IF(ISNUMBER(VALUE(RIGHT(Мособлдума_партии[[#This Row],[tik]]))),RIGHT(Мособлдума_партии[[#This Row],[tik]]),"")</f>
        <v>Один.2</v>
      </c>
      <c r="I158">
        <v>2922</v>
      </c>
      <c r="J158" s="8">
        <f>Мособлдума_партии[[#This Row],[Число избирателей, внесенных в список на момент окончания голосования]]</f>
        <v>2922</v>
      </c>
      <c r="K158">
        <v>2500</v>
      </c>
      <c r="L158" s="1"/>
      <c r="M158">
        <v>878</v>
      </c>
      <c r="N158">
        <v>11</v>
      </c>
      <c r="O158" s="3">
        <f t="shared" si="84"/>
        <v>30.424366872005475</v>
      </c>
      <c r="P158" s="3">
        <f t="shared" si="85"/>
        <v>0.37645448323066394</v>
      </c>
      <c r="Q158">
        <v>1611</v>
      </c>
      <c r="R158">
        <v>11</v>
      </c>
      <c r="S158">
        <v>878</v>
      </c>
      <c r="T158" s="1">
        <f t="shared" si="86"/>
        <v>889</v>
      </c>
      <c r="U158" s="3">
        <f t="shared" si="87"/>
        <v>1.2373453318335208</v>
      </c>
      <c r="V158">
        <v>351</v>
      </c>
      <c r="W158" s="3">
        <f t="shared" si="88"/>
        <v>39.48256467941507</v>
      </c>
      <c r="X158">
        <v>538</v>
      </c>
      <c r="Y158">
        <v>0</v>
      </c>
      <c r="Z158">
        <v>0</v>
      </c>
      <c r="AA158">
        <v>6</v>
      </c>
      <c r="AB158" s="3">
        <f t="shared" si="89"/>
        <v>0.67491563554555678</v>
      </c>
      <c r="AC158">
        <v>58</v>
      </c>
      <c r="AD158" s="3">
        <f t="shared" si="90"/>
        <v>6.5241844769403823</v>
      </c>
      <c r="AE158">
        <v>43</v>
      </c>
      <c r="AF158" s="3">
        <f t="shared" si="91"/>
        <v>4.8368953880764902</v>
      </c>
      <c r="AG158">
        <v>25</v>
      </c>
      <c r="AH158" s="3">
        <f t="shared" si="92"/>
        <v>2.8121484814398201</v>
      </c>
      <c r="AI158">
        <v>150</v>
      </c>
      <c r="AJ158" s="3">
        <f t="shared" si="93"/>
        <v>16.872890888638921</v>
      </c>
      <c r="AK158">
        <v>130</v>
      </c>
      <c r="AL158" s="3">
        <f t="shared" si="94"/>
        <v>14.623172103487065</v>
      </c>
      <c r="AM158">
        <v>27</v>
      </c>
      <c r="AN158" s="3">
        <f t="shared" si="95"/>
        <v>3.0371203599550056</v>
      </c>
      <c r="AO158">
        <v>13</v>
      </c>
      <c r="AP158" s="3">
        <f t="shared" si="96"/>
        <v>1.4623172103487063</v>
      </c>
      <c r="AQ158">
        <v>28</v>
      </c>
      <c r="AR158" s="3">
        <f t="shared" si="97"/>
        <v>3.1496062992125986</v>
      </c>
      <c r="AS158">
        <v>58</v>
      </c>
      <c r="AT158" s="3">
        <f t="shared" si="98"/>
        <v>6.5241844769403823</v>
      </c>
      <c r="AU158" t="s">
        <v>370</v>
      </c>
      <c r="AV158" s="72">
        <f>Дума_партии[[#This Row],[КОИБ]]</f>
        <v>2017</v>
      </c>
      <c r="AW158" s="1" t="str">
        <f>IF(Дума_партии[[#This Row],[Наблюдателей]]=0,"",Дума_партии[[#This Row],[Наблюдателей]])</f>
        <v/>
      </c>
      <c r="AX158"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-20.904109589041099</v>
      </c>
      <c r="AY158" s="10">
        <f>2*(Мособлдума_партии[[#This Row],[6. Всероссийская политическая партия "ЕДИНАЯ РОССИЯ"]]-(AB$203/100)*Мособлдума_партии[[#This Row],[Число действительных бюллетеней]])</f>
        <v>-30.520000000000039</v>
      </c>
      <c r="AZ158" s="10">
        <f>(Мособлдума_партии[[#This Row],[Вброс]]+Мособлдума_партии[[#This Row],[Перекладывание]])/2</f>
        <v>-25.712054794520569</v>
      </c>
    </row>
    <row r="159" spans="2:52" x14ac:dyDescent="0.4">
      <c r="B159" t="s">
        <v>74</v>
      </c>
      <c r="C159" t="s">
        <v>366</v>
      </c>
      <c r="D159" t="s">
        <v>227</v>
      </c>
      <c r="E159" t="s">
        <v>287</v>
      </c>
      <c r="F159" s="8">
        <f t="shared" ca="1" si="83"/>
        <v>2033</v>
      </c>
      <c r="G159" s="8" t="str">
        <f>Дума_партии[[#This Row],[Местоположение]]</f>
        <v>Вырубово</v>
      </c>
      <c r="H159" s="2" t="str">
        <f>LEFT(Мособлдума_партии[[#This Row],[tik]],4)&amp;"."&amp;IF(ISNUMBER(VALUE(RIGHT(Мособлдума_партии[[#This Row],[tik]]))),RIGHT(Мособлдума_партии[[#This Row],[tik]]),"")</f>
        <v>Один.2</v>
      </c>
      <c r="I159">
        <v>752</v>
      </c>
      <c r="J159" s="8">
        <f>Мособлдума_партии[[#This Row],[Число избирателей, внесенных в список на момент окончания голосования]]</f>
        <v>752</v>
      </c>
      <c r="K159">
        <v>700</v>
      </c>
      <c r="L159" s="1"/>
      <c r="M159">
        <v>220</v>
      </c>
      <c r="N159">
        <v>181</v>
      </c>
      <c r="O159" s="3">
        <f t="shared" si="84"/>
        <v>53.324468085106382</v>
      </c>
      <c r="P159" s="3">
        <f t="shared" si="85"/>
        <v>24.069148936170212</v>
      </c>
      <c r="Q159">
        <v>299</v>
      </c>
      <c r="R159">
        <v>181</v>
      </c>
      <c r="S159">
        <v>218</v>
      </c>
      <c r="T159" s="1">
        <f t="shared" si="86"/>
        <v>399</v>
      </c>
      <c r="U159" s="3">
        <f t="shared" si="87"/>
        <v>45.363408521303256</v>
      </c>
      <c r="V159">
        <v>13</v>
      </c>
      <c r="W159" s="3">
        <f t="shared" si="88"/>
        <v>3.2581453634085213</v>
      </c>
      <c r="X159">
        <v>386</v>
      </c>
      <c r="Y159">
        <v>0</v>
      </c>
      <c r="Z159">
        <v>0</v>
      </c>
      <c r="AA159">
        <v>6</v>
      </c>
      <c r="AB159" s="3">
        <f t="shared" si="89"/>
        <v>1.5037593984962405</v>
      </c>
      <c r="AC159">
        <v>32</v>
      </c>
      <c r="AD159" s="3">
        <f t="shared" si="90"/>
        <v>8.0200501253132828</v>
      </c>
      <c r="AE159">
        <v>19</v>
      </c>
      <c r="AF159" s="3">
        <f t="shared" si="91"/>
        <v>4.7619047619047619</v>
      </c>
      <c r="AG159">
        <v>7</v>
      </c>
      <c r="AH159" s="3">
        <f t="shared" si="92"/>
        <v>1.7543859649122806</v>
      </c>
      <c r="AI159">
        <v>53</v>
      </c>
      <c r="AJ159" s="3">
        <f t="shared" si="93"/>
        <v>13.283208020050125</v>
      </c>
      <c r="AK159">
        <v>222</v>
      </c>
      <c r="AL159" s="3">
        <f t="shared" si="94"/>
        <v>55.639097744360903</v>
      </c>
      <c r="AM159">
        <v>5</v>
      </c>
      <c r="AN159" s="3">
        <f t="shared" si="95"/>
        <v>1.2531328320802004</v>
      </c>
      <c r="AO159">
        <v>10</v>
      </c>
      <c r="AP159" s="3">
        <f t="shared" si="96"/>
        <v>2.5062656641604009</v>
      </c>
      <c r="AQ159">
        <v>12</v>
      </c>
      <c r="AR159" s="3">
        <f t="shared" si="97"/>
        <v>3.007518796992481</v>
      </c>
      <c r="AS159">
        <v>20</v>
      </c>
      <c r="AT159" s="3">
        <f t="shared" si="98"/>
        <v>5.0125313283208017</v>
      </c>
      <c r="AU159" t="s">
        <v>370</v>
      </c>
      <c r="AV159" s="72">
        <f>Дума_партии[[#This Row],[КОИБ]]</f>
        <v>2017</v>
      </c>
      <c r="AW159" s="1" t="str">
        <f>IF(Дума_партии[[#This Row],[Наблюдателей]]=0,"",Дума_партии[[#This Row],[Наблюдателей]])</f>
        <v/>
      </c>
      <c r="AX159"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161.34246575342465</v>
      </c>
      <c r="AY159" s="10">
        <f>2*(Мособлдума_партии[[#This Row],[6. Всероссийская политическая партия "ЕДИНАЯ РОССИЯ"]]-(AB$203/100)*Мособлдума_партии[[#This Row],[Число действительных бюллетеней]])</f>
        <v>235.55999999999997</v>
      </c>
      <c r="AZ159" s="10">
        <f>(Мособлдума_партии[[#This Row],[Вброс]]+Мособлдума_партии[[#This Row],[Перекладывание]])/2</f>
        <v>198.45123287671231</v>
      </c>
    </row>
    <row r="160" spans="2:52" x14ac:dyDescent="0.4">
      <c r="B160" t="s">
        <v>74</v>
      </c>
      <c r="C160" t="s">
        <v>366</v>
      </c>
      <c r="D160" t="s">
        <v>227</v>
      </c>
      <c r="E160" t="s">
        <v>288</v>
      </c>
      <c r="F160" s="8">
        <f t="shared" ca="1" si="83"/>
        <v>2034</v>
      </c>
      <c r="G160" s="8" t="str">
        <f>Дума_партии[[#This Row],[Местоположение]]</f>
        <v>Одинцово</v>
      </c>
      <c r="H160" s="2" t="str">
        <f>LEFT(Мособлдума_партии[[#This Row],[tik]],4)&amp;"."&amp;IF(ISNUMBER(VALUE(RIGHT(Мособлдума_партии[[#This Row],[tik]]))),RIGHT(Мособлдума_партии[[#This Row],[tik]]),"")</f>
        <v>Один.2</v>
      </c>
      <c r="I160">
        <v>793</v>
      </c>
      <c r="J160" s="8">
        <f>Мособлдума_партии[[#This Row],[Число избирателей, внесенных в список на момент окончания голосования]]</f>
        <v>793</v>
      </c>
      <c r="K160">
        <v>700</v>
      </c>
      <c r="L160" s="1"/>
      <c r="M160">
        <v>365</v>
      </c>
      <c r="N160">
        <v>33</v>
      </c>
      <c r="O160" s="3">
        <f t="shared" si="84"/>
        <v>50.189155107187894</v>
      </c>
      <c r="P160" s="3">
        <f t="shared" si="85"/>
        <v>4.1614123581336697</v>
      </c>
      <c r="Q160">
        <v>302</v>
      </c>
      <c r="R160">
        <v>28</v>
      </c>
      <c r="S160">
        <v>332</v>
      </c>
      <c r="T160" s="1">
        <f t="shared" si="86"/>
        <v>360</v>
      </c>
      <c r="U160" s="3">
        <f t="shared" si="87"/>
        <v>7.7777777777777777</v>
      </c>
      <c r="V160">
        <v>13</v>
      </c>
      <c r="W160" s="3">
        <f t="shared" si="88"/>
        <v>3.6111111111111112</v>
      </c>
      <c r="X160">
        <v>347</v>
      </c>
      <c r="Y160">
        <v>0</v>
      </c>
      <c r="Z160">
        <v>0</v>
      </c>
      <c r="AA160">
        <v>14</v>
      </c>
      <c r="AB160" s="3">
        <f t="shared" si="89"/>
        <v>3.8888888888888888</v>
      </c>
      <c r="AC160">
        <v>33</v>
      </c>
      <c r="AD160" s="3">
        <f t="shared" si="90"/>
        <v>9.1666666666666661</v>
      </c>
      <c r="AE160">
        <v>29</v>
      </c>
      <c r="AF160" s="3">
        <f t="shared" si="91"/>
        <v>8.0555555555555554</v>
      </c>
      <c r="AG160">
        <v>15</v>
      </c>
      <c r="AH160" s="3">
        <f t="shared" si="92"/>
        <v>4.166666666666667</v>
      </c>
      <c r="AI160">
        <v>56</v>
      </c>
      <c r="AJ160" s="3">
        <f t="shared" si="93"/>
        <v>15.555555555555555</v>
      </c>
      <c r="AK160">
        <v>130</v>
      </c>
      <c r="AL160" s="3">
        <f t="shared" si="94"/>
        <v>36.111111111111114</v>
      </c>
      <c r="AM160">
        <v>14</v>
      </c>
      <c r="AN160" s="3">
        <f t="shared" si="95"/>
        <v>3.8888888888888888</v>
      </c>
      <c r="AO160">
        <v>14</v>
      </c>
      <c r="AP160" s="3">
        <f t="shared" si="96"/>
        <v>3.8888888888888888</v>
      </c>
      <c r="AQ160">
        <v>15</v>
      </c>
      <c r="AR160" s="3">
        <f t="shared" si="97"/>
        <v>4.166666666666667</v>
      </c>
      <c r="AS160">
        <v>27</v>
      </c>
      <c r="AT160" s="3">
        <f t="shared" si="98"/>
        <v>7.5</v>
      </c>
      <c r="AU160" t="s">
        <v>370</v>
      </c>
      <c r="AV160" s="72">
        <f>Дума_партии[[#This Row],[КОИБ]]</f>
        <v>2017</v>
      </c>
      <c r="AW160" s="1" t="str">
        <f>IF(Дума_партии[[#This Row],[Наблюдателей]]=0,"",Дума_партии[[#This Row],[Наблюдателей]])</f>
        <v/>
      </c>
      <c r="AX160"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49.739726027397253</v>
      </c>
      <c r="AY160" s="10">
        <f>2*(Мособлдума_партии[[#This Row],[6. Всероссийская политическая партия "ЕДИНАЯ РОССИЯ"]]-(AB$203/100)*Мособлдума_партии[[#This Row],[Число действительных бюллетеней]])</f>
        <v>72.619999999999976</v>
      </c>
      <c r="AZ160" s="10">
        <f>(Мособлдума_партии[[#This Row],[Вброс]]+Мособлдума_партии[[#This Row],[Перекладывание]])/2</f>
        <v>61.179863013698615</v>
      </c>
    </row>
    <row r="161" spans="2:52" x14ac:dyDescent="0.4">
      <c r="B161" t="s">
        <v>74</v>
      </c>
      <c r="C161" t="s">
        <v>366</v>
      </c>
      <c r="D161" t="s">
        <v>227</v>
      </c>
      <c r="E161" t="s">
        <v>289</v>
      </c>
      <c r="F161" s="8">
        <f t="shared" ca="1" si="83"/>
        <v>2035</v>
      </c>
      <c r="G161" s="8" t="str">
        <f>Дума_партии[[#This Row],[Местоположение]]</f>
        <v>Одинцово</v>
      </c>
      <c r="H161" s="2" t="str">
        <f>LEFT(Мособлдума_партии[[#This Row],[tik]],4)&amp;"."&amp;IF(ISNUMBER(VALUE(RIGHT(Мособлдума_партии[[#This Row],[tik]]))),RIGHT(Мособлдума_партии[[#This Row],[tik]]),"")</f>
        <v>Один.2</v>
      </c>
      <c r="I161">
        <v>1731</v>
      </c>
      <c r="J161" s="8">
        <f>Мособлдума_партии[[#This Row],[Число избирателей, внесенных в список на момент окончания голосования]]</f>
        <v>1731</v>
      </c>
      <c r="K161">
        <v>1500</v>
      </c>
      <c r="L161" s="1"/>
      <c r="M161">
        <v>532</v>
      </c>
      <c r="N161">
        <v>7</v>
      </c>
      <c r="O161" s="3">
        <f t="shared" si="84"/>
        <v>31.138070479491624</v>
      </c>
      <c r="P161" s="3">
        <f t="shared" si="85"/>
        <v>0.40439052570768341</v>
      </c>
      <c r="Q161">
        <v>961</v>
      </c>
      <c r="R161">
        <v>7</v>
      </c>
      <c r="S161">
        <v>525</v>
      </c>
      <c r="T161" s="1">
        <f t="shared" si="86"/>
        <v>532</v>
      </c>
      <c r="U161" s="3">
        <f t="shared" si="87"/>
        <v>1.3157894736842106</v>
      </c>
      <c r="V161">
        <v>14</v>
      </c>
      <c r="W161" s="3">
        <f t="shared" si="88"/>
        <v>2.6315789473684212</v>
      </c>
      <c r="X161">
        <v>518</v>
      </c>
      <c r="Y161">
        <v>0</v>
      </c>
      <c r="Z161">
        <v>0</v>
      </c>
      <c r="AA161">
        <v>9</v>
      </c>
      <c r="AB161" s="3">
        <f t="shared" si="89"/>
        <v>1.6917293233082706</v>
      </c>
      <c r="AC161">
        <v>30</v>
      </c>
      <c r="AD161" s="3">
        <f t="shared" si="90"/>
        <v>5.6390977443609023</v>
      </c>
      <c r="AE161">
        <v>57</v>
      </c>
      <c r="AF161" s="3">
        <f t="shared" si="91"/>
        <v>10.714285714285714</v>
      </c>
      <c r="AG161">
        <v>41</v>
      </c>
      <c r="AH161" s="3">
        <f t="shared" si="92"/>
        <v>7.7067669172932334</v>
      </c>
      <c r="AI161">
        <v>137</v>
      </c>
      <c r="AJ161" s="3">
        <f t="shared" si="93"/>
        <v>25.751879699248121</v>
      </c>
      <c r="AK161">
        <v>154</v>
      </c>
      <c r="AL161" s="3">
        <f t="shared" si="94"/>
        <v>28.94736842105263</v>
      </c>
      <c r="AM161">
        <v>9</v>
      </c>
      <c r="AN161" s="3">
        <f t="shared" si="95"/>
        <v>1.6917293233082706</v>
      </c>
      <c r="AO161">
        <v>14</v>
      </c>
      <c r="AP161" s="3">
        <f t="shared" si="96"/>
        <v>2.6315789473684212</v>
      </c>
      <c r="AQ161">
        <v>14</v>
      </c>
      <c r="AR161" s="3">
        <f t="shared" si="97"/>
        <v>2.6315789473684212</v>
      </c>
      <c r="AS161">
        <v>53</v>
      </c>
      <c r="AT161" s="3">
        <f t="shared" si="98"/>
        <v>9.9624060150375939</v>
      </c>
      <c r="AU161" t="s">
        <v>370</v>
      </c>
      <c r="AV161" s="72">
        <f>Дума_партии[[#This Row],[КОИБ]]</f>
        <v>2017</v>
      </c>
      <c r="AW161" s="1" t="str">
        <f>IF(Дума_партии[[#This Row],[Наблюдателей]]=0,"",Дума_партии[[#This Row],[Наблюдателей]])</f>
        <v/>
      </c>
      <c r="AX161"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19.36986301369862</v>
      </c>
      <c r="AY161" s="10">
        <f>2*(Мособлдума_партии[[#This Row],[6. Всероссийская политическая партия "ЕДИНАЯ РОССИЯ"]]-(AB$203/100)*Мособлдума_партии[[#This Row],[Число действительных бюллетеней]])</f>
        <v>28.279999999999973</v>
      </c>
      <c r="AZ161" s="10">
        <f>(Мособлдума_партии[[#This Row],[Вброс]]+Мособлдума_партии[[#This Row],[Перекладывание]])/2</f>
        <v>23.824931506849296</v>
      </c>
    </row>
    <row r="162" spans="2:52" x14ac:dyDescent="0.4">
      <c r="B162" t="s">
        <v>74</v>
      </c>
      <c r="C162" t="s">
        <v>366</v>
      </c>
      <c r="D162" t="s">
        <v>227</v>
      </c>
      <c r="E162" t="s">
        <v>290</v>
      </c>
      <c r="F162" s="8">
        <f t="shared" ca="1" si="83"/>
        <v>2036</v>
      </c>
      <c r="G162" s="8" t="str">
        <f>Дума_партии[[#This Row],[Местоположение]]</f>
        <v>Мамоново</v>
      </c>
      <c r="H162" s="2" t="str">
        <f>LEFT(Мособлдума_партии[[#This Row],[tik]],4)&amp;"."&amp;IF(ISNUMBER(VALUE(RIGHT(Мособлдума_партии[[#This Row],[tik]]))),RIGHT(Мособлдума_партии[[#This Row],[tik]]),"")</f>
        <v>Один.2</v>
      </c>
      <c r="I162">
        <v>1086</v>
      </c>
      <c r="J162" s="8">
        <f>Мособлдума_партии[[#This Row],[Число избирателей, внесенных в список на момент окончания голосования]]</f>
        <v>1086</v>
      </c>
      <c r="K162">
        <v>900</v>
      </c>
      <c r="L162" s="1"/>
      <c r="M162">
        <v>220</v>
      </c>
      <c r="N162">
        <v>261</v>
      </c>
      <c r="O162" s="3">
        <f t="shared" si="84"/>
        <v>44.290976058931861</v>
      </c>
      <c r="P162" s="3">
        <f t="shared" si="85"/>
        <v>24.033149171270718</v>
      </c>
      <c r="Q162">
        <v>419</v>
      </c>
      <c r="R162">
        <v>261</v>
      </c>
      <c r="S162">
        <v>220</v>
      </c>
      <c r="T162" s="1">
        <f t="shared" si="86"/>
        <v>481</v>
      </c>
      <c r="U162" s="3">
        <f t="shared" si="87"/>
        <v>54.261954261954259</v>
      </c>
      <c r="V162">
        <v>23</v>
      </c>
      <c r="W162" s="3">
        <f t="shared" si="88"/>
        <v>4.7817047817047813</v>
      </c>
      <c r="X162">
        <v>458</v>
      </c>
      <c r="Y162">
        <v>0</v>
      </c>
      <c r="Z162">
        <v>0</v>
      </c>
      <c r="AA162">
        <v>5</v>
      </c>
      <c r="AB162" s="3">
        <f t="shared" si="89"/>
        <v>1.0395010395010396</v>
      </c>
      <c r="AC162">
        <v>25</v>
      </c>
      <c r="AD162" s="3">
        <f t="shared" si="90"/>
        <v>5.1975051975051976</v>
      </c>
      <c r="AE162">
        <v>28</v>
      </c>
      <c r="AF162" s="3">
        <f t="shared" si="91"/>
        <v>5.8212058212058215</v>
      </c>
      <c r="AG162">
        <v>8</v>
      </c>
      <c r="AH162" s="3">
        <f t="shared" si="92"/>
        <v>1.6632016632016633</v>
      </c>
      <c r="AI162">
        <v>57</v>
      </c>
      <c r="AJ162" s="3">
        <f t="shared" si="93"/>
        <v>11.850311850311851</v>
      </c>
      <c r="AK162">
        <v>278</v>
      </c>
      <c r="AL162" s="3">
        <f t="shared" si="94"/>
        <v>57.796257796257798</v>
      </c>
      <c r="AM162">
        <v>6</v>
      </c>
      <c r="AN162" s="3">
        <f t="shared" si="95"/>
        <v>1.2474012474012475</v>
      </c>
      <c r="AO162">
        <v>13</v>
      </c>
      <c r="AP162" s="3">
        <f t="shared" si="96"/>
        <v>2.7027027027027026</v>
      </c>
      <c r="AQ162">
        <v>7</v>
      </c>
      <c r="AR162" s="3">
        <f t="shared" si="97"/>
        <v>1.4553014553014554</v>
      </c>
      <c r="AS162">
        <v>31</v>
      </c>
      <c r="AT162" s="3">
        <f t="shared" si="98"/>
        <v>6.4449064449064446</v>
      </c>
      <c r="AU162" t="s">
        <v>370</v>
      </c>
      <c r="AV162" s="72">
        <f>Дума_партии[[#This Row],[КОИБ]]</f>
        <v>2017</v>
      </c>
      <c r="AW162" s="1" t="str">
        <f>IF(Дума_партии[[#This Row],[Наблюдателей]]=0,"",Дума_партии[[#This Row],[Наблюдателей]])</f>
        <v/>
      </c>
      <c r="AX162"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211.42465753424656</v>
      </c>
      <c r="AY162" s="10">
        <f>2*(Мособлдума_партии[[#This Row],[6. Всероссийская политическая партия "ЕДИНАЯ РОССИЯ"]]-(AB$203/100)*Мособлдума_партии[[#This Row],[Число действительных бюллетеней]])</f>
        <v>308.67999999999995</v>
      </c>
      <c r="AZ162" s="10">
        <f>(Мособлдума_партии[[#This Row],[Вброс]]+Мособлдума_партии[[#This Row],[Перекладывание]])/2</f>
        <v>260.05232876712324</v>
      </c>
    </row>
    <row r="163" spans="2:52" x14ac:dyDescent="0.4">
      <c r="B163" t="s">
        <v>74</v>
      </c>
      <c r="C163" t="s">
        <v>366</v>
      </c>
      <c r="D163" t="s">
        <v>227</v>
      </c>
      <c r="E163" t="s">
        <v>291</v>
      </c>
      <c r="F163" s="8">
        <f t="shared" ca="1" si="83"/>
        <v>2037</v>
      </c>
      <c r="G163" s="8" t="str">
        <f>Дума_партии[[#This Row],[Местоположение]]</f>
        <v>Одинцово</v>
      </c>
      <c r="H163" s="2" t="str">
        <f>LEFT(Мособлдума_партии[[#This Row],[tik]],4)&amp;"."&amp;IF(ISNUMBER(VALUE(RIGHT(Мособлдума_партии[[#This Row],[tik]]))),RIGHT(Мособлдума_партии[[#This Row],[tik]]),"")</f>
        <v>Один.2</v>
      </c>
      <c r="I163">
        <v>3026</v>
      </c>
      <c r="J163" s="8">
        <f>Мособлдума_партии[[#This Row],[Число избирателей, внесенных в список на момент окончания голосования]]</f>
        <v>3026</v>
      </c>
      <c r="K163">
        <v>2500</v>
      </c>
      <c r="L163" s="1"/>
      <c r="M163">
        <v>785</v>
      </c>
      <c r="N163">
        <v>0</v>
      </c>
      <c r="O163" s="3">
        <f t="shared" si="84"/>
        <v>25.94183740912095</v>
      </c>
      <c r="P163" s="3">
        <f t="shared" si="85"/>
        <v>0</v>
      </c>
      <c r="Q163">
        <v>1715</v>
      </c>
      <c r="R163">
        <v>0</v>
      </c>
      <c r="S163">
        <v>783</v>
      </c>
      <c r="T163" s="1">
        <f t="shared" si="86"/>
        <v>783</v>
      </c>
      <c r="U163" s="3">
        <f t="shared" si="87"/>
        <v>0</v>
      </c>
      <c r="V163">
        <v>16</v>
      </c>
      <c r="W163" s="3">
        <f t="shared" si="88"/>
        <v>2.0434227330779056</v>
      </c>
      <c r="X163">
        <v>767</v>
      </c>
      <c r="Y163">
        <v>0</v>
      </c>
      <c r="Z163">
        <v>0</v>
      </c>
      <c r="AA163">
        <v>11</v>
      </c>
      <c r="AB163" s="3">
        <f t="shared" si="89"/>
        <v>1.40485312899106</v>
      </c>
      <c r="AC163">
        <v>45</v>
      </c>
      <c r="AD163" s="3">
        <f t="shared" si="90"/>
        <v>5.7471264367816088</v>
      </c>
      <c r="AE163">
        <v>112</v>
      </c>
      <c r="AF163" s="3">
        <f t="shared" si="91"/>
        <v>14.303959131545339</v>
      </c>
      <c r="AG163">
        <v>19</v>
      </c>
      <c r="AH163" s="3">
        <f t="shared" si="92"/>
        <v>2.426564495530013</v>
      </c>
      <c r="AI163">
        <v>225</v>
      </c>
      <c r="AJ163" s="3">
        <f t="shared" si="93"/>
        <v>28.735632183908045</v>
      </c>
      <c r="AK163">
        <v>167</v>
      </c>
      <c r="AL163" s="3">
        <f t="shared" si="94"/>
        <v>21.32822477650064</v>
      </c>
      <c r="AM163">
        <v>44</v>
      </c>
      <c r="AN163" s="3">
        <f t="shared" si="95"/>
        <v>5.6194125159642399</v>
      </c>
      <c r="AO163">
        <v>62</v>
      </c>
      <c r="AP163" s="3">
        <f t="shared" si="96"/>
        <v>7.9182630906768834</v>
      </c>
      <c r="AQ163">
        <v>13</v>
      </c>
      <c r="AR163" s="3">
        <f t="shared" si="97"/>
        <v>1.6602809706257982</v>
      </c>
      <c r="AS163">
        <v>69</v>
      </c>
      <c r="AT163" s="3">
        <f t="shared" si="98"/>
        <v>8.8122605363984672</v>
      </c>
      <c r="AU163" t="s">
        <v>370</v>
      </c>
      <c r="AV163" s="72" t="str">
        <f>Дума_партии[[#This Row],[КОИБ]]</f>
        <v>N</v>
      </c>
      <c r="AW163" s="1" t="str">
        <f>IF(Дума_партии[[#This Row],[Наблюдателей]]=0,"",Дума_партии[[#This Row],[Наблюдателей]])</f>
        <v/>
      </c>
      <c r="AX163"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-54.917808219178113</v>
      </c>
      <c r="AY163" s="10">
        <f>2*(Мособлдума_партии[[#This Row],[6. Всероссийская политическая партия "ЕДИНАЯ РОССИЯ"]]-(AB$203/100)*Мособлдума_партии[[#This Row],[Число действительных бюллетеней]])</f>
        <v>-80.180000000000007</v>
      </c>
      <c r="AZ163" s="10">
        <f>(Мособлдума_партии[[#This Row],[Вброс]]+Мособлдума_партии[[#This Row],[Перекладывание]])/2</f>
        <v>-67.54890410958906</v>
      </c>
    </row>
    <row r="164" spans="2:52" x14ac:dyDescent="0.4">
      <c r="B164" t="s">
        <v>74</v>
      </c>
      <c r="C164" t="s">
        <v>366</v>
      </c>
      <c r="D164" t="s">
        <v>227</v>
      </c>
      <c r="E164" t="s">
        <v>292</v>
      </c>
      <c r="F164" s="8">
        <f t="shared" ca="1" si="83"/>
        <v>2038</v>
      </c>
      <c r="G164" s="8" t="str">
        <f>Дума_партии[[#This Row],[Местоположение]]</f>
        <v>Одинцово</v>
      </c>
      <c r="H164" s="2" t="str">
        <f>LEFT(Мособлдума_партии[[#This Row],[tik]],4)&amp;"."&amp;IF(ISNUMBER(VALUE(RIGHT(Мособлдума_партии[[#This Row],[tik]]))),RIGHT(Мособлдума_партии[[#This Row],[tik]]),"")</f>
        <v>Один.2</v>
      </c>
      <c r="I164">
        <v>2514</v>
      </c>
      <c r="J164" s="8">
        <f>Мособлдума_партии[[#This Row],[Число избирателей, внесенных в список на момент окончания голосования]]</f>
        <v>2514</v>
      </c>
      <c r="K164">
        <v>2000</v>
      </c>
      <c r="L164" s="1"/>
      <c r="M164">
        <v>534</v>
      </c>
      <c r="N164">
        <v>1</v>
      </c>
      <c r="O164" s="3">
        <f t="shared" si="84"/>
        <v>21.28082736674622</v>
      </c>
      <c r="P164" s="3">
        <f t="shared" si="85"/>
        <v>3.9777247414478918E-2</v>
      </c>
      <c r="Q164">
        <v>1465</v>
      </c>
      <c r="R164">
        <v>1</v>
      </c>
      <c r="S164">
        <v>534</v>
      </c>
      <c r="T164" s="1">
        <f t="shared" si="86"/>
        <v>535</v>
      </c>
      <c r="U164" s="3">
        <f t="shared" si="87"/>
        <v>0.18691588785046728</v>
      </c>
      <c r="V164">
        <v>6</v>
      </c>
      <c r="W164" s="3">
        <f t="shared" si="88"/>
        <v>1.1214953271028036</v>
      </c>
      <c r="X164">
        <v>529</v>
      </c>
      <c r="Y164">
        <v>0</v>
      </c>
      <c r="Z164">
        <v>0</v>
      </c>
      <c r="AA164">
        <v>4</v>
      </c>
      <c r="AB164" s="3">
        <f t="shared" si="89"/>
        <v>0.74766355140186913</v>
      </c>
      <c r="AC164">
        <v>37</v>
      </c>
      <c r="AD164" s="3">
        <f t="shared" si="90"/>
        <v>6.91588785046729</v>
      </c>
      <c r="AE164">
        <v>56</v>
      </c>
      <c r="AF164" s="3">
        <f t="shared" si="91"/>
        <v>10.467289719626168</v>
      </c>
      <c r="AG164">
        <v>13</v>
      </c>
      <c r="AH164" s="3">
        <f t="shared" si="92"/>
        <v>2.4299065420560746</v>
      </c>
      <c r="AI164">
        <v>147</v>
      </c>
      <c r="AJ164" s="3">
        <f t="shared" si="93"/>
        <v>27.476635514018692</v>
      </c>
      <c r="AK164">
        <v>126</v>
      </c>
      <c r="AL164" s="3">
        <f t="shared" si="94"/>
        <v>23.55140186915888</v>
      </c>
      <c r="AM164">
        <v>29</v>
      </c>
      <c r="AN164" s="3">
        <f t="shared" si="95"/>
        <v>5.4205607476635516</v>
      </c>
      <c r="AO164">
        <v>32</v>
      </c>
      <c r="AP164" s="3">
        <f t="shared" si="96"/>
        <v>5.981308411214953</v>
      </c>
      <c r="AQ164">
        <v>15</v>
      </c>
      <c r="AR164" s="3">
        <f t="shared" si="97"/>
        <v>2.8037383177570092</v>
      </c>
      <c r="AS164">
        <v>70</v>
      </c>
      <c r="AT164" s="3">
        <f t="shared" si="98"/>
        <v>13.084112149532711</v>
      </c>
      <c r="AU164" t="s">
        <v>370</v>
      </c>
      <c r="AV164" s="72">
        <f>Дума_партии[[#This Row],[КОИБ]]</f>
        <v>2017</v>
      </c>
      <c r="AW164" s="1">
        <f>IF(Дума_партии[[#This Row],[Наблюдателей]]=0,"",Дума_партии[[#This Row],[Наблюдателей]])</f>
        <v>1</v>
      </c>
      <c r="AX164"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-23.054794520547972</v>
      </c>
      <c r="AY164" s="10">
        <f>2*(Мособлдума_партии[[#This Row],[6. Всероссийская политическая партия "ЕДИНАЯ РОССИЯ"]]-(AB$203/100)*Мособлдума_партии[[#This Row],[Число действительных бюллетеней]])</f>
        <v>-33.660000000000025</v>
      </c>
      <c r="AZ164" s="10">
        <f>(Мособлдума_партии[[#This Row],[Вброс]]+Мособлдума_партии[[#This Row],[Перекладывание]])/2</f>
        <v>-28.357397260273999</v>
      </c>
    </row>
    <row r="165" spans="2:52" x14ac:dyDescent="0.4">
      <c r="B165" t="s">
        <v>74</v>
      </c>
      <c r="C165" t="s">
        <v>366</v>
      </c>
      <c r="D165" t="s">
        <v>227</v>
      </c>
      <c r="E165" t="s">
        <v>293</v>
      </c>
      <c r="F165" s="8">
        <f t="shared" ca="1" si="83"/>
        <v>2039</v>
      </c>
      <c r="G165" s="8" t="str">
        <f>Дума_партии[[#This Row],[Местоположение]]</f>
        <v>Одинцово</v>
      </c>
      <c r="H165" s="2" t="str">
        <f>LEFT(Мособлдума_партии[[#This Row],[tik]],4)&amp;"."&amp;IF(ISNUMBER(VALUE(RIGHT(Мособлдума_партии[[#This Row],[tik]]))),RIGHT(Мособлдума_партии[[#This Row],[tik]]),"")</f>
        <v>Один.2</v>
      </c>
      <c r="I165">
        <v>2308</v>
      </c>
      <c r="J165" s="8">
        <f>Мособлдума_партии[[#This Row],[Число избирателей, внесенных в список на момент окончания голосования]]</f>
        <v>2308</v>
      </c>
      <c r="K165">
        <v>2000</v>
      </c>
      <c r="L165" s="1"/>
      <c r="M165">
        <v>578</v>
      </c>
      <c r="N165">
        <v>2</v>
      </c>
      <c r="O165" s="3">
        <f t="shared" si="84"/>
        <v>25.129982668977469</v>
      </c>
      <c r="P165" s="3">
        <f t="shared" si="85"/>
        <v>8.6655112651646451E-2</v>
      </c>
      <c r="Q165">
        <v>1420</v>
      </c>
      <c r="R165">
        <v>2</v>
      </c>
      <c r="S165">
        <v>577</v>
      </c>
      <c r="T165" s="1">
        <f t="shared" si="86"/>
        <v>579</v>
      </c>
      <c r="U165" s="3">
        <f t="shared" si="87"/>
        <v>0.34542314335060448</v>
      </c>
      <c r="V165">
        <v>22</v>
      </c>
      <c r="W165" s="3">
        <f t="shared" si="88"/>
        <v>3.7996545768566494</v>
      </c>
      <c r="X165">
        <v>557</v>
      </c>
      <c r="Y165">
        <v>0</v>
      </c>
      <c r="Z165">
        <v>0</v>
      </c>
      <c r="AA165">
        <v>13</v>
      </c>
      <c r="AB165" s="3">
        <f t="shared" si="89"/>
        <v>2.245250431778929</v>
      </c>
      <c r="AC165">
        <v>45</v>
      </c>
      <c r="AD165" s="3">
        <f t="shared" si="90"/>
        <v>7.7720207253886011</v>
      </c>
      <c r="AE165">
        <v>52</v>
      </c>
      <c r="AF165" s="3">
        <f t="shared" si="91"/>
        <v>8.9810017271157161</v>
      </c>
      <c r="AG165">
        <v>13</v>
      </c>
      <c r="AH165" s="3">
        <f t="shared" si="92"/>
        <v>2.245250431778929</v>
      </c>
      <c r="AI165">
        <v>182</v>
      </c>
      <c r="AJ165" s="3">
        <f t="shared" si="93"/>
        <v>31.433506044905009</v>
      </c>
      <c r="AK165">
        <v>122</v>
      </c>
      <c r="AL165" s="3">
        <f t="shared" si="94"/>
        <v>21.070811744386873</v>
      </c>
      <c r="AM165">
        <v>25</v>
      </c>
      <c r="AN165" s="3">
        <f t="shared" si="95"/>
        <v>4.3177892918825558</v>
      </c>
      <c r="AO165">
        <v>39</v>
      </c>
      <c r="AP165" s="3">
        <f t="shared" si="96"/>
        <v>6.7357512953367875</v>
      </c>
      <c r="AQ165">
        <v>16</v>
      </c>
      <c r="AR165" s="3">
        <f t="shared" si="97"/>
        <v>2.7633851468048358</v>
      </c>
      <c r="AS165">
        <v>50</v>
      </c>
      <c r="AT165" s="3">
        <f t="shared" si="98"/>
        <v>8.6355785837651116</v>
      </c>
      <c r="AU165" t="s">
        <v>370</v>
      </c>
      <c r="AV165" s="72">
        <f>Дума_партии[[#This Row],[КОИБ]]</f>
        <v>2017</v>
      </c>
      <c r="AW165" s="1" t="str">
        <f>IF(Дума_партии[[#This Row],[Наблюдателей]]=0,"",Дума_партии[[#This Row],[Наблюдателей]])</f>
        <v/>
      </c>
      <c r="AX165"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-38.890410958904113</v>
      </c>
      <c r="AY165" s="10">
        <f>2*(Мособлдума_партии[[#This Row],[6. Всероссийская политическая партия "ЕДИНАЯ РОССИЯ"]]-(AB$203/100)*Мособлдума_партии[[#This Row],[Число действительных бюллетеней]])</f>
        <v>-56.78000000000003</v>
      </c>
      <c r="AZ165" s="10">
        <f>(Мособлдума_партии[[#This Row],[Вброс]]+Мособлдума_партии[[#This Row],[Перекладывание]])/2</f>
        <v>-47.835205479452071</v>
      </c>
    </row>
    <row r="166" spans="2:52" x14ac:dyDescent="0.4">
      <c r="B166" t="s">
        <v>74</v>
      </c>
      <c r="C166" t="s">
        <v>366</v>
      </c>
      <c r="D166" t="s">
        <v>227</v>
      </c>
      <c r="E166" t="s">
        <v>294</v>
      </c>
      <c r="F166" s="8">
        <f t="shared" ca="1" si="83"/>
        <v>2040</v>
      </c>
      <c r="G166" s="8" t="str">
        <f>Дума_партии[[#This Row],[Местоположение]]</f>
        <v>Одинцово</v>
      </c>
      <c r="H166" s="2" t="str">
        <f>LEFT(Мособлдума_партии[[#This Row],[tik]],4)&amp;"."&amp;IF(ISNUMBER(VALUE(RIGHT(Мособлдума_партии[[#This Row],[tik]]))),RIGHT(Мособлдума_партии[[#This Row],[tik]]),"")</f>
        <v>Один.2</v>
      </c>
      <c r="I166">
        <v>2212</v>
      </c>
      <c r="J166" s="8">
        <f>Мособлдума_партии[[#This Row],[Число избирателей, внесенных в список на момент окончания голосования]]</f>
        <v>2212</v>
      </c>
      <c r="K166">
        <v>1800</v>
      </c>
      <c r="L166" s="1"/>
      <c r="M166">
        <v>552</v>
      </c>
      <c r="N166">
        <v>3</v>
      </c>
      <c r="O166" s="3">
        <f t="shared" si="84"/>
        <v>25.090415913200722</v>
      </c>
      <c r="P166" s="3">
        <f t="shared" si="85"/>
        <v>0.13562386980108498</v>
      </c>
      <c r="Q166">
        <v>1245</v>
      </c>
      <c r="R166">
        <v>3</v>
      </c>
      <c r="S166">
        <v>552</v>
      </c>
      <c r="T166" s="1">
        <f t="shared" si="86"/>
        <v>555</v>
      </c>
      <c r="U166" s="3">
        <f t="shared" si="87"/>
        <v>0.54054054054054057</v>
      </c>
      <c r="V166">
        <v>13</v>
      </c>
      <c r="W166" s="3">
        <f t="shared" si="88"/>
        <v>2.3423423423423424</v>
      </c>
      <c r="X166">
        <v>542</v>
      </c>
      <c r="Y166">
        <v>0</v>
      </c>
      <c r="Z166">
        <v>0</v>
      </c>
      <c r="AA166">
        <v>7</v>
      </c>
      <c r="AB166" s="3">
        <f t="shared" si="89"/>
        <v>1.2612612612612613</v>
      </c>
      <c r="AC166">
        <v>42</v>
      </c>
      <c r="AD166" s="3">
        <f t="shared" si="90"/>
        <v>7.5675675675675675</v>
      </c>
      <c r="AE166">
        <v>73</v>
      </c>
      <c r="AF166" s="3">
        <f t="shared" si="91"/>
        <v>13.153153153153154</v>
      </c>
      <c r="AG166">
        <v>14</v>
      </c>
      <c r="AH166" s="3">
        <f t="shared" si="92"/>
        <v>2.5225225225225225</v>
      </c>
      <c r="AI166">
        <v>133</v>
      </c>
      <c r="AJ166" s="3">
        <f t="shared" si="93"/>
        <v>23.963963963963963</v>
      </c>
      <c r="AK166">
        <v>132</v>
      </c>
      <c r="AL166" s="3">
        <f t="shared" si="94"/>
        <v>23.783783783783782</v>
      </c>
      <c r="AM166">
        <v>21</v>
      </c>
      <c r="AN166" s="3">
        <f t="shared" si="95"/>
        <v>3.7837837837837838</v>
      </c>
      <c r="AO166">
        <v>17</v>
      </c>
      <c r="AP166" s="3">
        <f t="shared" si="96"/>
        <v>3.0630630630630629</v>
      </c>
      <c r="AQ166">
        <v>18</v>
      </c>
      <c r="AR166" s="3">
        <f t="shared" si="97"/>
        <v>3.2432432432432434</v>
      </c>
      <c r="AS166">
        <v>85</v>
      </c>
      <c r="AT166" s="3">
        <f t="shared" si="98"/>
        <v>15.315315315315315</v>
      </c>
      <c r="AU166" t="s">
        <v>370</v>
      </c>
      <c r="AV166" s="72">
        <f>Дума_партии[[#This Row],[КОИБ]]</f>
        <v>2017</v>
      </c>
      <c r="AW166" s="1" t="str">
        <f>IF(Дума_партии[[#This Row],[Наблюдателей]]=0,"",Дума_партии[[#This Row],[Наблюдателей]])</f>
        <v/>
      </c>
      <c r="AX166"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-19.643835616438366</v>
      </c>
      <c r="AY166" s="10">
        <f>2*(Мособлдума_партии[[#This Row],[6. Всероссийская политическая партия "ЕДИНАЯ РОССИЯ"]]-(AB$203/100)*Мособлдума_партии[[#This Row],[Число действительных бюллетеней]])</f>
        <v>-28.680000000000007</v>
      </c>
      <c r="AZ166" s="10">
        <f>(Мособлдума_партии[[#This Row],[Вброс]]+Мособлдума_партии[[#This Row],[Перекладывание]])/2</f>
        <v>-24.161917808219187</v>
      </c>
    </row>
    <row r="167" spans="2:52" x14ac:dyDescent="0.4">
      <c r="B167" t="s">
        <v>74</v>
      </c>
      <c r="C167" t="s">
        <v>366</v>
      </c>
      <c r="D167" t="s">
        <v>227</v>
      </c>
      <c r="E167" t="s">
        <v>295</v>
      </c>
      <c r="F167" s="8">
        <f t="shared" ca="1" si="83"/>
        <v>2041</v>
      </c>
      <c r="G167" s="8" t="str">
        <f>Дума_партии[[#This Row],[Местоположение]]</f>
        <v>Одинцово</v>
      </c>
      <c r="H167" s="2" t="str">
        <f>LEFT(Мособлдума_партии[[#This Row],[tik]],4)&amp;"."&amp;IF(ISNUMBER(VALUE(RIGHT(Мособлдума_партии[[#This Row],[tik]]))),RIGHT(Мособлдума_партии[[#This Row],[tik]]),"")</f>
        <v>Один.2</v>
      </c>
      <c r="I167">
        <v>2419</v>
      </c>
      <c r="J167" s="8">
        <f>Мособлдума_партии[[#This Row],[Число избирателей, внесенных в список на момент окончания голосования]]</f>
        <v>2419</v>
      </c>
      <c r="K167">
        <v>2000</v>
      </c>
      <c r="L167" s="1"/>
      <c r="M167">
        <v>620</v>
      </c>
      <c r="N167">
        <v>3</v>
      </c>
      <c r="O167" s="3">
        <f t="shared" si="84"/>
        <v>25.754443985117817</v>
      </c>
      <c r="P167" s="3">
        <f t="shared" si="85"/>
        <v>0.12401818933443572</v>
      </c>
      <c r="Q167">
        <v>1377</v>
      </c>
      <c r="R167">
        <v>3</v>
      </c>
      <c r="S167">
        <v>620</v>
      </c>
      <c r="T167" s="1">
        <f t="shared" si="86"/>
        <v>623</v>
      </c>
      <c r="U167" s="3">
        <f t="shared" si="87"/>
        <v>0.48154093097913325</v>
      </c>
      <c r="V167">
        <v>16</v>
      </c>
      <c r="W167" s="3">
        <f t="shared" si="88"/>
        <v>2.5682182985553772</v>
      </c>
      <c r="X167">
        <v>607</v>
      </c>
      <c r="Y167">
        <v>0</v>
      </c>
      <c r="Z167">
        <v>0</v>
      </c>
      <c r="AA167">
        <v>12</v>
      </c>
      <c r="AB167" s="3">
        <f t="shared" si="89"/>
        <v>1.926163723916533</v>
      </c>
      <c r="AC167">
        <v>41</v>
      </c>
      <c r="AD167" s="3">
        <f t="shared" si="90"/>
        <v>6.5810593900481544</v>
      </c>
      <c r="AE167">
        <v>66</v>
      </c>
      <c r="AF167" s="3">
        <f t="shared" si="91"/>
        <v>10.593900481540931</v>
      </c>
      <c r="AG167">
        <v>16</v>
      </c>
      <c r="AH167" s="3">
        <f t="shared" si="92"/>
        <v>2.5682182985553772</v>
      </c>
      <c r="AI167">
        <v>184</v>
      </c>
      <c r="AJ167" s="3">
        <f t="shared" si="93"/>
        <v>29.534510433386838</v>
      </c>
      <c r="AK167">
        <v>150</v>
      </c>
      <c r="AL167" s="3">
        <f t="shared" si="94"/>
        <v>24.077046548956663</v>
      </c>
      <c r="AM167">
        <v>28</v>
      </c>
      <c r="AN167" s="3">
        <f t="shared" si="95"/>
        <v>4.4943820224719104</v>
      </c>
      <c r="AO167">
        <v>17</v>
      </c>
      <c r="AP167" s="3">
        <f t="shared" si="96"/>
        <v>2.7287319422150884</v>
      </c>
      <c r="AQ167">
        <v>25</v>
      </c>
      <c r="AR167" s="3">
        <f t="shared" si="97"/>
        <v>4.0128410914927768</v>
      </c>
      <c r="AS167">
        <v>68</v>
      </c>
      <c r="AT167" s="3">
        <f t="shared" si="98"/>
        <v>10.914927768860354</v>
      </c>
      <c r="AU167" t="s">
        <v>370</v>
      </c>
      <c r="AV167" s="72">
        <f>Дума_партии[[#This Row],[КОИБ]]</f>
        <v>2017</v>
      </c>
      <c r="AW167" s="1" t="str">
        <f>IF(Дума_партии[[#This Row],[Наблюдателей]]=0,"",Дума_партии[[#This Row],[Наблюдателей]])</f>
        <v/>
      </c>
      <c r="AX167"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-19.027397260274</v>
      </c>
      <c r="AY167" s="10">
        <f>2*(Мособлдума_партии[[#This Row],[6. Всероссийская политическая партия "ЕДИНАЯ РОССИЯ"]]-(AB$203/100)*Мособлдума_партии[[#This Row],[Число действительных бюллетеней]])</f>
        <v>-27.78000000000003</v>
      </c>
      <c r="AZ167" s="10">
        <f>(Мособлдума_партии[[#This Row],[Вброс]]+Мособлдума_партии[[#This Row],[Перекладывание]])/2</f>
        <v>-23.403698630137015</v>
      </c>
    </row>
    <row r="168" spans="2:52" x14ac:dyDescent="0.4">
      <c r="B168" t="s">
        <v>74</v>
      </c>
      <c r="C168" t="s">
        <v>366</v>
      </c>
      <c r="D168" t="s">
        <v>227</v>
      </c>
      <c r="E168" t="s">
        <v>296</v>
      </c>
      <c r="F168" s="8">
        <f t="shared" ca="1" si="83"/>
        <v>2042</v>
      </c>
      <c r="G168" s="8" t="str">
        <f>Дума_партии[[#This Row],[Местоположение]]</f>
        <v>Одинцово</v>
      </c>
      <c r="H168" s="2" t="str">
        <f>LEFT(Мособлдума_партии[[#This Row],[tik]],4)&amp;"."&amp;IF(ISNUMBER(VALUE(RIGHT(Мособлдума_партии[[#This Row],[tik]]))),RIGHT(Мособлдума_партии[[#This Row],[tik]]),"")</f>
        <v>Один.2</v>
      </c>
      <c r="I168">
        <v>2132</v>
      </c>
      <c r="J168" s="8">
        <f>Мособлдума_партии[[#This Row],[Число избирателей, внесенных в список на момент окончания голосования]]</f>
        <v>2132</v>
      </c>
      <c r="K168">
        <v>1700</v>
      </c>
      <c r="L168" s="1"/>
      <c r="M168">
        <v>491</v>
      </c>
      <c r="N168">
        <v>1</v>
      </c>
      <c r="O168" s="3">
        <f t="shared" si="84"/>
        <v>23.076923076923077</v>
      </c>
      <c r="P168" s="3">
        <f t="shared" si="85"/>
        <v>4.6904315196998121E-2</v>
      </c>
      <c r="Q168">
        <v>1208</v>
      </c>
      <c r="R168">
        <v>1</v>
      </c>
      <c r="S168">
        <v>490</v>
      </c>
      <c r="T168" s="1">
        <f t="shared" si="86"/>
        <v>491</v>
      </c>
      <c r="U168" s="3">
        <f t="shared" si="87"/>
        <v>0.20366598778004075</v>
      </c>
      <c r="V168">
        <v>14</v>
      </c>
      <c r="W168" s="3">
        <f t="shared" si="88"/>
        <v>2.8513238289205702</v>
      </c>
      <c r="X168">
        <v>477</v>
      </c>
      <c r="Y168">
        <v>0</v>
      </c>
      <c r="Z168">
        <v>0</v>
      </c>
      <c r="AA168">
        <v>8</v>
      </c>
      <c r="AB168" s="3">
        <f t="shared" si="89"/>
        <v>1.629327902240326</v>
      </c>
      <c r="AC168">
        <v>38</v>
      </c>
      <c r="AD168" s="3">
        <f t="shared" si="90"/>
        <v>7.7393075356415482</v>
      </c>
      <c r="AE168">
        <v>52</v>
      </c>
      <c r="AF168" s="3">
        <f t="shared" si="91"/>
        <v>10.590631364562118</v>
      </c>
      <c r="AG168">
        <v>15</v>
      </c>
      <c r="AH168" s="3">
        <f t="shared" si="92"/>
        <v>3.0549898167006111</v>
      </c>
      <c r="AI168">
        <v>115</v>
      </c>
      <c r="AJ168" s="3">
        <f t="shared" si="93"/>
        <v>23.421588594704684</v>
      </c>
      <c r="AK168">
        <v>140</v>
      </c>
      <c r="AL168" s="3">
        <f t="shared" si="94"/>
        <v>28.513238289205702</v>
      </c>
      <c r="AM168">
        <v>23</v>
      </c>
      <c r="AN168" s="3">
        <f t="shared" si="95"/>
        <v>4.6843177189409371</v>
      </c>
      <c r="AO168">
        <v>17</v>
      </c>
      <c r="AP168" s="3">
        <f t="shared" si="96"/>
        <v>3.4623217922606924</v>
      </c>
      <c r="AQ168">
        <v>14</v>
      </c>
      <c r="AR168" s="3">
        <f t="shared" si="97"/>
        <v>2.8513238289205702</v>
      </c>
      <c r="AS168">
        <v>55</v>
      </c>
      <c r="AT168" s="3">
        <f t="shared" si="98"/>
        <v>11.201629327902241</v>
      </c>
      <c r="AU168" t="s">
        <v>370</v>
      </c>
      <c r="AV168" s="72">
        <f>Дума_партии[[#This Row],[КОИБ]]</f>
        <v>2017</v>
      </c>
      <c r="AW168" s="1" t="str">
        <f>IF(Дума_партии[[#This Row],[Наблюдателей]]=0,"",Дума_партии[[#This Row],[Наблюдателей]])</f>
        <v/>
      </c>
      <c r="AX168"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15.356164383561634</v>
      </c>
      <c r="AY168" s="10">
        <f>2*(Мособлдума_партии[[#This Row],[6. Всероссийская политическая партия "ЕДИНАЯ РОССИЯ"]]-(AB$203/100)*Мособлдума_партии[[#This Row],[Число действительных бюллетеней]])</f>
        <v>22.419999999999959</v>
      </c>
      <c r="AZ168" s="10">
        <f>(Мособлдума_партии[[#This Row],[Вброс]]+Мособлдума_партии[[#This Row],[Перекладывание]])/2</f>
        <v>18.888082191780796</v>
      </c>
    </row>
    <row r="169" spans="2:52" x14ac:dyDescent="0.4">
      <c r="B169" t="s">
        <v>74</v>
      </c>
      <c r="C169" t="s">
        <v>366</v>
      </c>
      <c r="D169" t="s">
        <v>227</v>
      </c>
      <c r="E169" t="s">
        <v>297</v>
      </c>
      <c r="F169" s="8">
        <f t="shared" ca="1" si="83"/>
        <v>2043</v>
      </c>
      <c r="G169" s="8" t="str">
        <f>Дума_партии[[#This Row],[Местоположение]]</f>
        <v>Одинцово</v>
      </c>
      <c r="H169" s="2" t="str">
        <f>LEFT(Мособлдума_партии[[#This Row],[tik]],4)&amp;"."&amp;IF(ISNUMBER(VALUE(RIGHT(Мособлдума_партии[[#This Row],[tik]]))),RIGHT(Мособлдума_партии[[#This Row],[tik]]),"")</f>
        <v>Один.2</v>
      </c>
      <c r="I169">
        <v>2359</v>
      </c>
      <c r="J169" s="8">
        <f>Мособлдума_партии[[#This Row],[Число избирателей, внесенных в список на момент окончания голосования]]</f>
        <v>2359</v>
      </c>
      <c r="K169">
        <v>2000</v>
      </c>
      <c r="L169" s="1"/>
      <c r="M169">
        <v>503</v>
      </c>
      <c r="N169">
        <v>3</v>
      </c>
      <c r="O169" s="3">
        <f t="shared" si="84"/>
        <v>21.449766850360323</v>
      </c>
      <c r="P169" s="3">
        <f t="shared" si="85"/>
        <v>0.1271725307333616</v>
      </c>
      <c r="Q169">
        <v>1494</v>
      </c>
      <c r="R169">
        <v>3</v>
      </c>
      <c r="S169">
        <v>500</v>
      </c>
      <c r="T169" s="1">
        <f t="shared" si="86"/>
        <v>503</v>
      </c>
      <c r="U169" s="3">
        <f t="shared" si="87"/>
        <v>0.59642147117296218</v>
      </c>
      <c r="V169">
        <v>18</v>
      </c>
      <c r="W169" s="3">
        <f t="shared" si="88"/>
        <v>3.5785288270377733</v>
      </c>
      <c r="X169">
        <v>485</v>
      </c>
      <c r="Y169">
        <v>0</v>
      </c>
      <c r="Z169">
        <v>0</v>
      </c>
      <c r="AA169">
        <v>12</v>
      </c>
      <c r="AB169" s="3">
        <f t="shared" si="89"/>
        <v>2.3856858846918487</v>
      </c>
      <c r="AC169">
        <v>31</v>
      </c>
      <c r="AD169" s="3">
        <f t="shared" si="90"/>
        <v>6.1630218687872764</v>
      </c>
      <c r="AE169">
        <v>55</v>
      </c>
      <c r="AF169" s="3">
        <f t="shared" si="91"/>
        <v>10.934393638170974</v>
      </c>
      <c r="AG169">
        <v>18</v>
      </c>
      <c r="AH169" s="3">
        <f t="shared" si="92"/>
        <v>3.5785288270377733</v>
      </c>
      <c r="AI169">
        <v>145</v>
      </c>
      <c r="AJ169" s="3">
        <f t="shared" si="93"/>
        <v>28.827037773359841</v>
      </c>
      <c r="AK169">
        <v>123</v>
      </c>
      <c r="AL169" s="3">
        <f t="shared" si="94"/>
        <v>24.453280318091451</v>
      </c>
      <c r="AM169">
        <v>16</v>
      </c>
      <c r="AN169" s="3">
        <f t="shared" si="95"/>
        <v>3.1809145129224654</v>
      </c>
      <c r="AO169">
        <v>17</v>
      </c>
      <c r="AP169" s="3">
        <f t="shared" si="96"/>
        <v>3.3797216699801194</v>
      </c>
      <c r="AQ169">
        <v>14</v>
      </c>
      <c r="AR169" s="3">
        <f t="shared" si="97"/>
        <v>2.7833001988071571</v>
      </c>
      <c r="AS169">
        <v>54</v>
      </c>
      <c r="AT169" s="3">
        <f t="shared" si="98"/>
        <v>10.735586481113319</v>
      </c>
      <c r="AU169" t="s">
        <v>370</v>
      </c>
      <c r="AV169" s="72">
        <f>Дума_партии[[#This Row],[КОИБ]]</f>
        <v>2017</v>
      </c>
      <c r="AW169" s="1" t="str">
        <f>IF(Дума_партии[[#This Row],[Наблюдателей]]=0,"",Дума_партии[[#This Row],[Наблюдателей]])</f>
        <v/>
      </c>
      <c r="AX169"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-10.890410958904113</v>
      </c>
      <c r="AY169" s="10">
        <f>2*(Мособлдума_партии[[#This Row],[6. Всероссийская политическая партия "ЕДИНАЯ РОССИЯ"]]-(AB$203/100)*Мособлдума_партии[[#This Row],[Число действительных бюллетеней]])</f>
        <v>-15.900000000000034</v>
      </c>
      <c r="AZ169" s="10">
        <f>(Мособлдума_партии[[#This Row],[Вброс]]+Мособлдума_партии[[#This Row],[Перекладывание]])/2</f>
        <v>-13.395205479452073</v>
      </c>
    </row>
    <row r="170" spans="2:52" x14ac:dyDescent="0.4">
      <c r="B170" t="s">
        <v>74</v>
      </c>
      <c r="C170" t="s">
        <v>366</v>
      </c>
      <c r="D170" t="s">
        <v>227</v>
      </c>
      <c r="E170" t="s">
        <v>298</v>
      </c>
      <c r="F170" s="8">
        <f t="shared" ca="1" si="83"/>
        <v>2045</v>
      </c>
      <c r="G170" s="8" t="str">
        <f>Дума_партии[[#This Row],[Местоположение]]</f>
        <v>Немчиновка</v>
      </c>
      <c r="H170" s="2" t="str">
        <f>LEFT(Мособлдума_партии[[#This Row],[tik]],4)&amp;"."&amp;IF(ISNUMBER(VALUE(RIGHT(Мособлдума_партии[[#This Row],[tik]]))),RIGHT(Мособлдума_партии[[#This Row],[tik]]),"")</f>
        <v>Один.2</v>
      </c>
      <c r="I170">
        <v>2958</v>
      </c>
      <c r="J170" s="8">
        <f>Мособлдума_партии[[#This Row],[Число избирателей, внесенных в список на момент окончания голосования]]</f>
        <v>2958</v>
      </c>
      <c r="K170">
        <v>2500</v>
      </c>
      <c r="L170" s="1"/>
      <c r="M170">
        <v>715</v>
      </c>
      <c r="N170">
        <v>18</v>
      </c>
      <c r="O170" s="3">
        <f t="shared" si="84"/>
        <v>24.780256930358352</v>
      </c>
      <c r="P170" s="3">
        <f t="shared" si="85"/>
        <v>0.60851926977687631</v>
      </c>
      <c r="Q170">
        <v>1767</v>
      </c>
      <c r="R170">
        <v>18</v>
      </c>
      <c r="S170">
        <v>715</v>
      </c>
      <c r="T170" s="1">
        <f t="shared" si="86"/>
        <v>733</v>
      </c>
      <c r="U170" s="3">
        <f t="shared" si="87"/>
        <v>2.4556616643929057</v>
      </c>
      <c r="V170">
        <v>30</v>
      </c>
      <c r="W170" s="3">
        <f t="shared" si="88"/>
        <v>4.0927694406548429</v>
      </c>
      <c r="X170">
        <v>703</v>
      </c>
      <c r="Y170">
        <v>0</v>
      </c>
      <c r="Z170">
        <v>0</v>
      </c>
      <c r="AA170">
        <v>15</v>
      </c>
      <c r="AB170" s="3">
        <f t="shared" si="89"/>
        <v>2.0463847203274215</v>
      </c>
      <c r="AC170">
        <v>71</v>
      </c>
      <c r="AD170" s="3">
        <f t="shared" si="90"/>
        <v>9.6862210095497954</v>
      </c>
      <c r="AE170">
        <v>56</v>
      </c>
      <c r="AF170" s="3">
        <f t="shared" si="91"/>
        <v>7.6398362892223739</v>
      </c>
      <c r="AG170">
        <v>30</v>
      </c>
      <c r="AH170" s="3">
        <f t="shared" si="92"/>
        <v>4.0927694406548429</v>
      </c>
      <c r="AI170">
        <v>222</v>
      </c>
      <c r="AJ170" s="3">
        <f t="shared" si="93"/>
        <v>30.286493860845837</v>
      </c>
      <c r="AK170">
        <v>175</v>
      </c>
      <c r="AL170" s="3">
        <f t="shared" si="94"/>
        <v>23.874488403819917</v>
      </c>
      <c r="AM170">
        <v>21</v>
      </c>
      <c r="AN170" s="3">
        <f t="shared" si="95"/>
        <v>2.8649386084583903</v>
      </c>
      <c r="AO170">
        <v>27</v>
      </c>
      <c r="AP170" s="3">
        <f t="shared" si="96"/>
        <v>3.6834924965893587</v>
      </c>
      <c r="AQ170">
        <v>17</v>
      </c>
      <c r="AR170" s="3">
        <f t="shared" si="97"/>
        <v>2.3192360163710779</v>
      </c>
      <c r="AS170">
        <v>69</v>
      </c>
      <c r="AT170" s="3">
        <f t="shared" si="98"/>
        <v>9.4133697135061389</v>
      </c>
      <c r="AU170" t="s">
        <v>370</v>
      </c>
      <c r="AV170" s="72" t="str">
        <f>Дума_партии[[#This Row],[КОИБ]]</f>
        <v>N</v>
      </c>
      <c r="AW170" s="1">
        <f>IF(Дума_партии[[#This Row],[Наблюдателей]]=0,"",Дума_партии[[#This Row],[Наблюдателей]])</f>
        <v>1</v>
      </c>
      <c r="AX170"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-20.287671232876733</v>
      </c>
      <c r="AY170" s="10">
        <f>2*(Мособлдума_партии[[#This Row],[6. Всероссийская политическая партия "ЕДИНАЯ РОССИЯ"]]-(AB$203/100)*Мособлдума_партии[[#This Row],[Число действительных бюллетеней]])</f>
        <v>-29.620000000000005</v>
      </c>
      <c r="AZ170" s="10">
        <f>(Мособлдума_партии[[#This Row],[Вброс]]+Мособлдума_партии[[#This Row],[Перекладывание]])/2</f>
        <v>-24.953835616438369</v>
      </c>
    </row>
    <row r="171" spans="2:52" x14ac:dyDescent="0.4">
      <c r="B171" t="s">
        <v>74</v>
      </c>
      <c r="C171" t="s">
        <v>366</v>
      </c>
      <c r="D171" t="s">
        <v>227</v>
      </c>
      <c r="E171" t="s">
        <v>299</v>
      </c>
      <c r="F171" s="8">
        <f t="shared" ca="1" si="83"/>
        <v>2046</v>
      </c>
      <c r="G171" s="8" t="str">
        <f>Дума_партии[[#This Row],[Местоположение]]</f>
        <v>Немчиновка</v>
      </c>
      <c r="H171" s="2" t="str">
        <f>LEFT(Мособлдума_партии[[#This Row],[tik]],4)&amp;"."&amp;IF(ISNUMBER(VALUE(RIGHT(Мособлдума_партии[[#This Row],[tik]]))),RIGHT(Мособлдума_партии[[#This Row],[tik]]),"")</f>
        <v>Один.2</v>
      </c>
      <c r="I171">
        <v>749</v>
      </c>
      <c r="J171" s="8">
        <f>Мособлдума_партии[[#This Row],[Число избирателей, внесенных в список на момент окончания голосования]]</f>
        <v>749</v>
      </c>
      <c r="K171">
        <v>600</v>
      </c>
      <c r="L171" s="1"/>
      <c r="M171">
        <v>128</v>
      </c>
      <c r="N171">
        <v>6</v>
      </c>
      <c r="O171" s="3">
        <f t="shared" si="84"/>
        <v>17.890520694259013</v>
      </c>
      <c r="P171" s="3">
        <f t="shared" si="85"/>
        <v>0.8010680907877169</v>
      </c>
      <c r="Q171">
        <v>466</v>
      </c>
      <c r="R171">
        <v>6</v>
      </c>
      <c r="S171">
        <v>122</v>
      </c>
      <c r="T171" s="1">
        <f t="shared" si="86"/>
        <v>128</v>
      </c>
      <c r="U171" s="3">
        <f t="shared" si="87"/>
        <v>4.6875</v>
      </c>
      <c r="V171">
        <v>9</v>
      </c>
      <c r="W171" s="3">
        <f t="shared" si="88"/>
        <v>7.03125</v>
      </c>
      <c r="X171">
        <v>119</v>
      </c>
      <c r="Y171">
        <v>0</v>
      </c>
      <c r="Z171">
        <v>0</v>
      </c>
      <c r="AA171">
        <v>4</v>
      </c>
      <c r="AB171" s="3">
        <f t="shared" si="89"/>
        <v>3.125</v>
      </c>
      <c r="AC171">
        <v>4</v>
      </c>
      <c r="AD171" s="3">
        <f t="shared" si="90"/>
        <v>3.125</v>
      </c>
      <c r="AE171">
        <v>15</v>
      </c>
      <c r="AF171" s="3">
        <f t="shared" si="91"/>
        <v>11.71875</v>
      </c>
      <c r="AG171">
        <v>3</v>
      </c>
      <c r="AH171" s="3">
        <f t="shared" si="92"/>
        <v>2.34375</v>
      </c>
      <c r="AI171">
        <v>34</v>
      </c>
      <c r="AJ171" s="3">
        <f t="shared" si="93"/>
        <v>26.5625</v>
      </c>
      <c r="AK171">
        <v>31</v>
      </c>
      <c r="AL171" s="3">
        <f t="shared" si="94"/>
        <v>24.21875</v>
      </c>
      <c r="AM171">
        <v>5</v>
      </c>
      <c r="AN171" s="3">
        <f t="shared" si="95"/>
        <v>3.90625</v>
      </c>
      <c r="AO171">
        <v>6</v>
      </c>
      <c r="AP171" s="3">
        <f t="shared" si="96"/>
        <v>4.6875</v>
      </c>
      <c r="AQ171">
        <v>4</v>
      </c>
      <c r="AR171" s="3">
        <f t="shared" si="97"/>
        <v>3.125</v>
      </c>
      <c r="AS171">
        <v>13</v>
      </c>
      <c r="AT171" s="3">
        <f t="shared" si="98"/>
        <v>10.15625</v>
      </c>
      <c r="AU171" t="s">
        <v>370</v>
      </c>
      <c r="AV171" s="72">
        <f>Дума_партии[[#This Row],[КОИБ]]</f>
        <v>2017</v>
      </c>
      <c r="AW171" s="1" t="str">
        <f>IF(Дума_партии[[#This Row],[Наблюдателей]]=0,"",Дума_партии[[#This Row],[Наблюдателей]])</f>
        <v/>
      </c>
      <c r="AX171"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-1.5479452054794578</v>
      </c>
      <c r="AY171" s="10">
        <f>2*(Мособлдума_партии[[#This Row],[6. Всероссийская политическая партия "ЕДИНАЯ РОССИЯ"]]-(AB$203/100)*Мособлдума_партии[[#This Row],[Число действительных бюллетеней]])</f>
        <v>-2.2600000000000051</v>
      </c>
      <c r="AZ171" s="10">
        <f>(Мособлдума_партии[[#This Row],[Вброс]]+Мособлдума_партии[[#This Row],[Перекладывание]])/2</f>
        <v>-1.9039726027397315</v>
      </c>
    </row>
    <row r="172" spans="2:52" x14ac:dyDescent="0.4">
      <c r="B172" t="s">
        <v>74</v>
      </c>
      <c r="C172" t="s">
        <v>366</v>
      </c>
      <c r="D172" t="s">
        <v>227</v>
      </c>
      <c r="E172" t="s">
        <v>300</v>
      </c>
      <c r="F172" s="8">
        <f t="shared" ca="1" si="83"/>
        <v>2047</v>
      </c>
      <c r="G172" s="8" t="str">
        <f>Дума_партии[[#This Row],[Местоположение]]</f>
        <v>Ромашково</v>
      </c>
      <c r="H172" s="2" t="str">
        <f>LEFT(Мособлдума_партии[[#This Row],[tik]],4)&amp;"."&amp;IF(ISNUMBER(VALUE(RIGHT(Мособлдума_партии[[#This Row],[tik]]))),RIGHT(Мособлдума_партии[[#This Row],[tik]]),"")</f>
        <v>Один.2</v>
      </c>
      <c r="I172">
        <v>2663</v>
      </c>
      <c r="J172" s="8">
        <f>Мособлдума_партии[[#This Row],[Число избирателей, внесенных в список на момент окончания голосования]]</f>
        <v>2663</v>
      </c>
      <c r="K172">
        <v>2000</v>
      </c>
      <c r="L172" s="1"/>
      <c r="M172">
        <v>526</v>
      </c>
      <c r="N172">
        <v>36</v>
      </c>
      <c r="O172" s="3">
        <f t="shared" si="84"/>
        <v>21.104018024784079</v>
      </c>
      <c r="P172" s="3">
        <f t="shared" si="85"/>
        <v>1.3518588058580547</v>
      </c>
      <c r="Q172">
        <v>1438</v>
      </c>
      <c r="R172">
        <v>36</v>
      </c>
      <c r="S172">
        <v>526</v>
      </c>
      <c r="T172" s="1">
        <f t="shared" si="86"/>
        <v>562</v>
      </c>
      <c r="U172" s="3">
        <f t="shared" si="87"/>
        <v>6.4056939501779357</v>
      </c>
      <c r="V172">
        <v>18</v>
      </c>
      <c r="W172" s="3">
        <f t="shared" si="88"/>
        <v>3.2028469750889679</v>
      </c>
      <c r="X172">
        <v>544</v>
      </c>
      <c r="Y172">
        <v>0</v>
      </c>
      <c r="Z172">
        <v>0</v>
      </c>
      <c r="AA172">
        <v>9</v>
      </c>
      <c r="AB172" s="3">
        <f t="shared" si="89"/>
        <v>1.6014234875444839</v>
      </c>
      <c r="AC172">
        <v>35</v>
      </c>
      <c r="AD172" s="3">
        <f t="shared" si="90"/>
        <v>6.2277580071174379</v>
      </c>
      <c r="AE172">
        <v>55</v>
      </c>
      <c r="AF172" s="3">
        <f t="shared" si="91"/>
        <v>9.7864768683274015</v>
      </c>
      <c r="AG172">
        <v>16</v>
      </c>
      <c r="AH172" s="3">
        <f t="shared" si="92"/>
        <v>2.8469750889679717</v>
      </c>
      <c r="AI172">
        <v>183</v>
      </c>
      <c r="AJ172" s="3">
        <f t="shared" si="93"/>
        <v>32.562277580071175</v>
      </c>
      <c r="AK172">
        <v>122</v>
      </c>
      <c r="AL172" s="3">
        <f t="shared" si="94"/>
        <v>21.708185053380785</v>
      </c>
      <c r="AM172">
        <v>22</v>
      </c>
      <c r="AN172" s="3">
        <f t="shared" si="95"/>
        <v>3.9145907473309607</v>
      </c>
      <c r="AO172">
        <v>36</v>
      </c>
      <c r="AP172" s="3">
        <f t="shared" si="96"/>
        <v>6.4056939501779357</v>
      </c>
      <c r="AQ172">
        <v>8</v>
      </c>
      <c r="AR172" s="3">
        <f t="shared" si="97"/>
        <v>1.4234875444839858</v>
      </c>
      <c r="AS172">
        <v>58</v>
      </c>
      <c r="AT172" s="3">
        <f t="shared" si="98"/>
        <v>10.320284697508896</v>
      </c>
      <c r="AU172" t="s">
        <v>370</v>
      </c>
      <c r="AV172" s="72" t="str">
        <f>Дума_партии[[#This Row],[КОИБ]]</f>
        <v>N</v>
      </c>
      <c r="AW172" s="1">
        <f>IF(Дума_партии[[#This Row],[Наблюдателей]]=0,"",Дума_партии[[#This Row],[Наблюдателей]])</f>
        <v>1</v>
      </c>
      <c r="AX172"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-34.082191780821944</v>
      </c>
      <c r="AY172" s="10">
        <f>2*(Мособлдума_партии[[#This Row],[6. Всероссийская политическая партия "ЕДИНАЯ РОССИЯ"]]-(AB$203/100)*Мособлдума_партии[[#This Row],[Число действительных бюллетеней]])</f>
        <v>-49.759999999999991</v>
      </c>
      <c r="AZ172" s="10">
        <f>(Мособлдума_партии[[#This Row],[Вброс]]+Мособлдума_партии[[#This Row],[Перекладывание]])/2</f>
        <v>-41.921095890410967</v>
      </c>
    </row>
    <row r="173" spans="2:52" x14ac:dyDescent="0.4">
      <c r="B173" t="s">
        <v>74</v>
      </c>
      <c r="C173" t="s">
        <v>366</v>
      </c>
      <c r="D173" t="s">
        <v>227</v>
      </c>
      <c r="E173" t="s">
        <v>301</v>
      </c>
      <c r="F173" s="8">
        <f t="shared" ca="1" si="83"/>
        <v>2070</v>
      </c>
      <c r="G173" s="8" t="str">
        <f>Дума_партии[[#This Row],[Местоположение]]</f>
        <v>Заречье</v>
      </c>
      <c r="H173" s="2" t="str">
        <f>LEFT(Мособлдума_партии[[#This Row],[tik]],4)&amp;"."&amp;IF(ISNUMBER(VALUE(RIGHT(Мособлдума_партии[[#This Row],[tik]]))),RIGHT(Мособлдума_партии[[#This Row],[tik]]),"")</f>
        <v>Один.2</v>
      </c>
      <c r="I173">
        <v>1277</v>
      </c>
      <c r="J173" s="8">
        <f>Мособлдума_партии[[#This Row],[Число избирателей, внесенных в список на момент окончания голосования]]</f>
        <v>1277</v>
      </c>
      <c r="K173">
        <v>1000</v>
      </c>
      <c r="L173" s="1"/>
      <c r="M173">
        <v>468</v>
      </c>
      <c r="N173">
        <v>51</v>
      </c>
      <c r="O173" s="3">
        <f t="shared" si="84"/>
        <v>40.642129992169146</v>
      </c>
      <c r="P173" s="3">
        <f t="shared" si="85"/>
        <v>3.9937353171495693</v>
      </c>
      <c r="Q173">
        <v>481</v>
      </c>
      <c r="R173">
        <v>51</v>
      </c>
      <c r="S173">
        <v>468</v>
      </c>
      <c r="T173" s="1">
        <f t="shared" si="86"/>
        <v>519</v>
      </c>
      <c r="U173" s="3">
        <f t="shared" si="87"/>
        <v>9.8265895953757223</v>
      </c>
      <c r="V173">
        <v>25</v>
      </c>
      <c r="W173" s="3">
        <f t="shared" si="88"/>
        <v>4.8169556840077075</v>
      </c>
      <c r="X173">
        <v>494</v>
      </c>
      <c r="Y173">
        <v>0</v>
      </c>
      <c r="Z173">
        <v>0</v>
      </c>
      <c r="AA173">
        <v>4</v>
      </c>
      <c r="AB173" s="3">
        <f t="shared" si="89"/>
        <v>0.77071290944123316</v>
      </c>
      <c r="AC173">
        <v>38</v>
      </c>
      <c r="AD173" s="3">
        <f t="shared" si="90"/>
        <v>7.3217726396917149</v>
      </c>
      <c r="AE173">
        <v>28</v>
      </c>
      <c r="AF173" s="3">
        <f t="shared" si="91"/>
        <v>5.3949903660886322</v>
      </c>
      <c r="AG173">
        <v>40</v>
      </c>
      <c r="AH173" s="3">
        <f t="shared" si="92"/>
        <v>7.7071290944123314</v>
      </c>
      <c r="AI173">
        <v>85</v>
      </c>
      <c r="AJ173" s="3">
        <f t="shared" si="93"/>
        <v>16.377649325626205</v>
      </c>
      <c r="AK173">
        <v>215</v>
      </c>
      <c r="AL173" s="3">
        <f t="shared" si="94"/>
        <v>41.425818882466281</v>
      </c>
      <c r="AM173">
        <v>13</v>
      </c>
      <c r="AN173" s="3">
        <f t="shared" si="95"/>
        <v>2.5048169556840079</v>
      </c>
      <c r="AO173">
        <v>14</v>
      </c>
      <c r="AP173" s="3">
        <f t="shared" si="96"/>
        <v>2.6974951830443161</v>
      </c>
      <c r="AQ173">
        <v>12</v>
      </c>
      <c r="AR173" s="3">
        <f t="shared" si="97"/>
        <v>2.3121387283236996</v>
      </c>
      <c r="AS173">
        <v>45</v>
      </c>
      <c r="AT173" s="3">
        <f t="shared" si="98"/>
        <v>8.6705202312138727</v>
      </c>
      <c r="AU173" t="s">
        <v>370</v>
      </c>
      <c r="AV173" s="72">
        <f>Дума_партии[[#This Row],[КОИБ]]</f>
        <v>2017</v>
      </c>
      <c r="AW173" s="1" t="str">
        <f>IF(Дума_партии[[#This Row],[Наблюдателей]]=0,"",Дума_партии[[#This Row],[Наблюдателей]])</f>
        <v/>
      </c>
      <c r="AX173"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111.80821917808218</v>
      </c>
      <c r="AY173" s="10">
        <f>2*(Мособлдума_партии[[#This Row],[6. Всероссийская политическая партия "ЕДИНАЯ РОССИЯ"]]-(AB$203/100)*Мособлдума_партии[[#This Row],[Число действительных бюллетеней]])</f>
        <v>163.24</v>
      </c>
      <c r="AZ173" s="10">
        <f>(Мособлдума_партии[[#This Row],[Вброс]]+Мособлдума_партии[[#This Row],[Перекладывание]])/2</f>
        <v>137.5241095890411</v>
      </c>
    </row>
    <row r="174" spans="2:52" x14ac:dyDescent="0.4">
      <c r="B174" t="s">
        <v>74</v>
      </c>
      <c r="C174" t="s">
        <v>366</v>
      </c>
      <c r="D174" t="s">
        <v>227</v>
      </c>
      <c r="E174" t="s">
        <v>302</v>
      </c>
      <c r="F174" s="8">
        <f t="shared" ca="1" si="83"/>
        <v>2071</v>
      </c>
      <c r="G174" s="8" t="str">
        <f>Дума_партии[[#This Row],[Местоположение]]</f>
        <v>Заречье</v>
      </c>
      <c r="H174" s="2" t="str">
        <f>LEFT(Мособлдума_партии[[#This Row],[tik]],4)&amp;"."&amp;IF(ISNUMBER(VALUE(RIGHT(Мособлдума_партии[[#This Row],[tik]]))),RIGHT(Мособлдума_партии[[#This Row],[tik]]),"")</f>
        <v>Один.2</v>
      </c>
      <c r="I174">
        <v>1094</v>
      </c>
      <c r="J174" s="8">
        <f>Мособлдума_партии[[#This Row],[Число избирателей, внесенных в список на момент окончания голосования]]</f>
        <v>1094</v>
      </c>
      <c r="K174">
        <v>900</v>
      </c>
      <c r="L174" s="1"/>
      <c r="M174">
        <v>270</v>
      </c>
      <c r="N174">
        <v>93</v>
      </c>
      <c r="O174" s="3">
        <f t="shared" si="84"/>
        <v>33.180987202925046</v>
      </c>
      <c r="P174" s="3">
        <f t="shared" si="85"/>
        <v>8.5009140767824505</v>
      </c>
      <c r="Q174">
        <v>537</v>
      </c>
      <c r="R174">
        <v>93</v>
      </c>
      <c r="S174">
        <v>270</v>
      </c>
      <c r="T174" s="1">
        <f t="shared" si="86"/>
        <v>363</v>
      </c>
      <c r="U174" s="3">
        <f t="shared" si="87"/>
        <v>25.619834710743802</v>
      </c>
      <c r="V174">
        <v>14</v>
      </c>
      <c r="W174" s="3">
        <f t="shared" si="88"/>
        <v>3.8567493112947657</v>
      </c>
      <c r="X174">
        <v>349</v>
      </c>
      <c r="Y174">
        <v>0</v>
      </c>
      <c r="Z174">
        <v>0</v>
      </c>
      <c r="AA174">
        <v>6</v>
      </c>
      <c r="AB174" s="3">
        <f t="shared" si="89"/>
        <v>1.6528925619834711</v>
      </c>
      <c r="AC174">
        <v>16</v>
      </c>
      <c r="AD174" s="3">
        <f t="shared" si="90"/>
        <v>4.4077134986225897</v>
      </c>
      <c r="AE174">
        <v>25</v>
      </c>
      <c r="AF174" s="3">
        <f t="shared" si="91"/>
        <v>6.887052341597796</v>
      </c>
      <c r="AG174">
        <v>5</v>
      </c>
      <c r="AH174" s="3">
        <f t="shared" si="92"/>
        <v>1.3774104683195592</v>
      </c>
      <c r="AI174">
        <v>57</v>
      </c>
      <c r="AJ174" s="3">
        <f t="shared" si="93"/>
        <v>15.702479338842975</v>
      </c>
      <c r="AK174">
        <v>163</v>
      </c>
      <c r="AL174" s="3">
        <f t="shared" si="94"/>
        <v>44.903581267217632</v>
      </c>
      <c r="AM174">
        <v>17</v>
      </c>
      <c r="AN174" s="3">
        <f t="shared" si="95"/>
        <v>4.6831955922865012</v>
      </c>
      <c r="AO174">
        <v>27</v>
      </c>
      <c r="AP174" s="3">
        <f t="shared" si="96"/>
        <v>7.4380165289256199</v>
      </c>
      <c r="AQ174">
        <v>10</v>
      </c>
      <c r="AR174" s="3">
        <f t="shared" si="97"/>
        <v>2.7548209366391183</v>
      </c>
      <c r="AS174">
        <v>23</v>
      </c>
      <c r="AT174" s="3">
        <f t="shared" si="98"/>
        <v>6.3360881542699721</v>
      </c>
      <c r="AU174" t="s">
        <v>370</v>
      </c>
      <c r="AV174" s="72">
        <f>Дума_партии[[#This Row],[КОИБ]]</f>
        <v>2017</v>
      </c>
      <c r="AW174" s="1" t="str">
        <f>IF(Дума_партии[[#This Row],[Наблюдателей]]=0,"",Дума_партии[[#This Row],[Наблюдателей]])</f>
        <v/>
      </c>
      <c r="AX174"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94.205479452054789</v>
      </c>
      <c r="AY174" s="10">
        <f>2*(Мособлдума_партии[[#This Row],[6. Всероссийская политическая партия "ЕДИНАЯ РОССИЯ"]]-(AB$203/100)*Мособлдума_партии[[#This Row],[Число действительных бюллетеней]])</f>
        <v>137.54</v>
      </c>
      <c r="AZ174" s="10">
        <f>(Мособлдума_партии[[#This Row],[Вброс]]+Мособлдума_партии[[#This Row],[Перекладывание]])/2</f>
        <v>115.87273972602739</v>
      </c>
    </row>
    <row r="175" spans="2:52" x14ac:dyDescent="0.4">
      <c r="B175" t="s">
        <v>74</v>
      </c>
      <c r="C175" t="s">
        <v>366</v>
      </c>
      <c r="D175" t="s">
        <v>227</v>
      </c>
      <c r="E175" t="s">
        <v>303</v>
      </c>
      <c r="F175" s="8">
        <f t="shared" ca="1" si="83"/>
        <v>2072</v>
      </c>
      <c r="G175" s="8" t="str">
        <f>Дума_партии[[#This Row],[Местоположение]]</f>
        <v>Заречье</v>
      </c>
      <c r="H175" s="2" t="str">
        <f>LEFT(Мособлдума_партии[[#This Row],[tik]],4)&amp;"."&amp;IF(ISNUMBER(VALUE(RIGHT(Мособлдума_партии[[#This Row],[tik]]))),RIGHT(Мособлдума_партии[[#This Row],[tik]]),"")</f>
        <v>Один.2</v>
      </c>
      <c r="I175">
        <v>1232</v>
      </c>
      <c r="J175" s="8">
        <f>Мособлдума_партии[[#This Row],[Число избирателей, внесенных в список на момент окончания голосования]]</f>
        <v>1232</v>
      </c>
      <c r="K175">
        <v>1000</v>
      </c>
      <c r="L175" s="1"/>
      <c r="M175">
        <v>374</v>
      </c>
      <c r="N175">
        <v>5</v>
      </c>
      <c r="O175" s="3">
        <f t="shared" si="84"/>
        <v>30.762987012987011</v>
      </c>
      <c r="P175" s="3">
        <f t="shared" si="85"/>
        <v>0.40584415584415584</v>
      </c>
      <c r="Q175">
        <v>621</v>
      </c>
      <c r="R175">
        <v>5</v>
      </c>
      <c r="S175">
        <v>374</v>
      </c>
      <c r="T175" s="1">
        <f t="shared" si="86"/>
        <v>379</v>
      </c>
      <c r="U175" s="3">
        <f t="shared" si="87"/>
        <v>1.3192612137203166</v>
      </c>
      <c r="V175">
        <v>25</v>
      </c>
      <c r="W175" s="3">
        <f t="shared" si="88"/>
        <v>6.5963060686015833</v>
      </c>
      <c r="X175">
        <v>354</v>
      </c>
      <c r="Y175">
        <v>0</v>
      </c>
      <c r="Z175">
        <v>0</v>
      </c>
      <c r="AA175">
        <v>5</v>
      </c>
      <c r="AB175" s="3">
        <f t="shared" si="89"/>
        <v>1.3192612137203166</v>
      </c>
      <c r="AC175">
        <v>40</v>
      </c>
      <c r="AD175" s="3">
        <f t="shared" si="90"/>
        <v>10.554089709762533</v>
      </c>
      <c r="AE175">
        <v>33</v>
      </c>
      <c r="AF175" s="3">
        <f t="shared" si="91"/>
        <v>8.7071240105540895</v>
      </c>
      <c r="AG175">
        <v>21</v>
      </c>
      <c r="AH175" s="3">
        <f t="shared" si="92"/>
        <v>5.5408970976253302</v>
      </c>
      <c r="AI175">
        <v>86</v>
      </c>
      <c r="AJ175" s="3">
        <f t="shared" si="93"/>
        <v>22.691292875989447</v>
      </c>
      <c r="AK175">
        <v>87</v>
      </c>
      <c r="AL175" s="3">
        <f t="shared" si="94"/>
        <v>22.955145118733508</v>
      </c>
      <c r="AM175">
        <v>12</v>
      </c>
      <c r="AN175" s="3">
        <f t="shared" si="95"/>
        <v>3.1662269129287597</v>
      </c>
      <c r="AO175">
        <v>14</v>
      </c>
      <c r="AP175" s="3">
        <f t="shared" si="96"/>
        <v>3.6939313984168867</v>
      </c>
      <c r="AQ175">
        <v>18</v>
      </c>
      <c r="AR175" s="3">
        <f t="shared" si="97"/>
        <v>4.7493403693931402</v>
      </c>
      <c r="AS175">
        <v>38</v>
      </c>
      <c r="AT175" s="3">
        <f t="shared" si="98"/>
        <v>10.026385224274406</v>
      </c>
      <c r="AU175" t="s">
        <v>370</v>
      </c>
      <c r="AV175" s="72">
        <f>Дума_партии[[#This Row],[КОИБ]]</f>
        <v>2017</v>
      </c>
      <c r="AW175" s="1" t="str">
        <f>IF(Дума_партии[[#This Row],[Наблюдателей]]=0,"",Дума_партии[[#This Row],[Наблюдателей]])</f>
        <v/>
      </c>
      <c r="AX175"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-11.753424657534254</v>
      </c>
      <c r="AY175" s="10">
        <f>2*(Мособлдума_партии[[#This Row],[6. Всероссийская политическая партия "ЕДИНАЯ РОССИЯ"]]-(AB$203/100)*Мособлдума_партии[[#This Row],[Число действительных бюллетеней]])</f>
        <v>-17.160000000000025</v>
      </c>
      <c r="AZ175" s="10">
        <f>(Мособлдума_партии[[#This Row],[Вброс]]+Мособлдума_партии[[#This Row],[Перекладывание]])/2</f>
        <v>-14.456712328767139</v>
      </c>
    </row>
    <row r="176" spans="2:52" x14ac:dyDescent="0.4">
      <c r="B176" t="s">
        <v>74</v>
      </c>
      <c r="C176" t="s">
        <v>366</v>
      </c>
      <c r="D176" t="s">
        <v>227</v>
      </c>
      <c r="E176" t="s">
        <v>304</v>
      </c>
      <c r="F176" s="8">
        <f t="shared" ca="1" si="83"/>
        <v>2073</v>
      </c>
      <c r="G176" s="8" t="str">
        <f>Дума_партии[[#This Row],[Местоположение]]</f>
        <v>Заречье</v>
      </c>
      <c r="H176" s="2" t="str">
        <f>LEFT(Мособлдума_партии[[#This Row],[tik]],4)&amp;"."&amp;IF(ISNUMBER(VALUE(RIGHT(Мособлдума_партии[[#This Row],[tik]]))),RIGHT(Мособлдума_партии[[#This Row],[tik]]),"")</f>
        <v>Один.2</v>
      </c>
      <c r="I176">
        <v>1023</v>
      </c>
      <c r="J176" s="8">
        <f>Мособлдума_партии[[#This Row],[Число избирателей, внесенных в список на момент окончания голосования]]</f>
        <v>1023</v>
      </c>
      <c r="K176">
        <v>900</v>
      </c>
      <c r="L176" s="1"/>
      <c r="M176">
        <v>290</v>
      </c>
      <c r="N176">
        <v>75</v>
      </c>
      <c r="O176" s="3">
        <f t="shared" si="84"/>
        <v>35.679374389051809</v>
      </c>
      <c r="P176" s="3">
        <f t="shared" si="85"/>
        <v>7.3313782991202343</v>
      </c>
      <c r="Q176">
        <v>535</v>
      </c>
      <c r="R176">
        <v>75</v>
      </c>
      <c r="S176">
        <v>290</v>
      </c>
      <c r="T176" s="1">
        <f t="shared" si="86"/>
        <v>365</v>
      </c>
      <c r="U176" s="3">
        <f t="shared" si="87"/>
        <v>20.547945205479451</v>
      </c>
      <c r="V176">
        <v>15</v>
      </c>
      <c r="W176" s="3">
        <f t="shared" si="88"/>
        <v>4.1095890410958908</v>
      </c>
      <c r="X176">
        <v>350</v>
      </c>
      <c r="Y176">
        <v>0</v>
      </c>
      <c r="Z176">
        <v>0</v>
      </c>
      <c r="AA176">
        <v>10</v>
      </c>
      <c r="AB176" s="3">
        <f t="shared" si="89"/>
        <v>2.7397260273972601</v>
      </c>
      <c r="AC176">
        <v>28</v>
      </c>
      <c r="AD176" s="3">
        <f t="shared" si="90"/>
        <v>7.6712328767123283</v>
      </c>
      <c r="AE176">
        <v>20</v>
      </c>
      <c r="AF176" s="3">
        <f t="shared" si="91"/>
        <v>5.4794520547945202</v>
      </c>
      <c r="AG176">
        <v>11</v>
      </c>
      <c r="AH176" s="3">
        <f t="shared" si="92"/>
        <v>3.0136986301369864</v>
      </c>
      <c r="AI176">
        <v>86</v>
      </c>
      <c r="AJ176" s="3">
        <f t="shared" si="93"/>
        <v>23.561643835616437</v>
      </c>
      <c r="AK176">
        <v>108</v>
      </c>
      <c r="AL176" s="3">
        <f t="shared" si="94"/>
        <v>29.589041095890412</v>
      </c>
      <c r="AM176">
        <v>27</v>
      </c>
      <c r="AN176" s="3">
        <f t="shared" si="95"/>
        <v>7.397260273972603</v>
      </c>
      <c r="AO176">
        <v>12</v>
      </c>
      <c r="AP176" s="3">
        <f t="shared" si="96"/>
        <v>3.2876712328767121</v>
      </c>
      <c r="AQ176">
        <v>13</v>
      </c>
      <c r="AR176" s="3">
        <f t="shared" si="97"/>
        <v>3.5616438356164384</v>
      </c>
      <c r="AS176">
        <v>35</v>
      </c>
      <c r="AT176" s="3">
        <f t="shared" si="98"/>
        <v>9.5890410958904102</v>
      </c>
      <c r="AU176" t="s">
        <v>370</v>
      </c>
      <c r="AV176" s="72">
        <f>Дума_партии[[#This Row],[КОИБ]]</f>
        <v>2017</v>
      </c>
      <c r="AW176" s="1" t="str">
        <f>IF(Дума_партии[[#This Row],[Наблюдателей]]=0,"",Дума_партии[[#This Row],[Наблюдателей]])</f>
        <v/>
      </c>
      <c r="AX176"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18.493150684931493</v>
      </c>
      <c r="AY176" s="10">
        <f>2*(Мособлдума_партии[[#This Row],[6. Всероссийская политическая партия "ЕДИНАЯ РОССИЯ"]]-(AB$203/100)*Мособлдума_партии[[#This Row],[Число действительных бюллетеней]])</f>
        <v>27</v>
      </c>
      <c r="AZ176" s="10">
        <f>(Мособлдума_партии[[#This Row],[Вброс]]+Мособлдума_партии[[#This Row],[Перекладывание]])/2</f>
        <v>22.746575342465746</v>
      </c>
    </row>
    <row r="177" spans="2:52" x14ac:dyDescent="0.4">
      <c r="B177" t="s">
        <v>74</v>
      </c>
      <c r="C177" t="s">
        <v>366</v>
      </c>
      <c r="D177" t="s">
        <v>227</v>
      </c>
      <c r="E177" t="s">
        <v>305</v>
      </c>
      <c r="F177" s="8">
        <f t="shared" ca="1" si="83"/>
        <v>3940</v>
      </c>
      <c r="G177" s="8" t="str">
        <f>Дума_партии[[#This Row],[Местоположение]]</f>
        <v>Новоивановское</v>
      </c>
      <c r="H177" s="2" t="str">
        <f>LEFT(Мособлдума_партии[[#This Row],[tik]],4)&amp;"."&amp;IF(ISNUMBER(VALUE(RIGHT(Мособлдума_партии[[#This Row],[tik]]))),RIGHT(Мособлдума_партии[[#This Row],[tik]]),"")</f>
        <v>Один.2</v>
      </c>
      <c r="I177">
        <v>1695</v>
      </c>
      <c r="J177" s="8">
        <f>Мособлдума_партии[[#This Row],[Число избирателей, внесенных в список на момент окончания голосования]]</f>
        <v>1695</v>
      </c>
      <c r="K177">
        <v>1500</v>
      </c>
      <c r="L177" s="1"/>
      <c r="M177">
        <v>565</v>
      </c>
      <c r="N177">
        <v>67</v>
      </c>
      <c r="O177" s="3">
        <f t="shared" si="84"/>
        <v>37.286135693215343</v>
      </c>
      <c r="P177" s="3">
        <f t="shared" si="85"/>
        <v>3.9528023598820057</v>
      </c>
      <c r="Q177">
        <v>867</v>
      </c>
      <c r="R177">
        <v>67</v>
      </c>
      <c r="S177">
        <v>497</v>
      </c>
      <c r="T177" s="1">
        <f t="shared" si="86"/>
        <v>564</v>
      </c>
      <c r="U177" s="3">
        <f t="shared" si="87"/>
        <v>11.879432624113475</v>
      </c>
      <c r="V177">
        <v>36</v>
      </c>
      <c r="W177" s="3">
        <f t="shared" si="88"/>
        <v>6.3829787234042552</v>
      </c>
      <c r="X177">
        <v>528</v>
      </c>
      <c r="Y177">
        <v>1</v>
      </c>
      <c r="Z177">
        <v>0</v>
      </c>
      <c r="AA177">
        <v>11</v>
      </c>
      <c r="AB177" s="3">
        <f t="shared" si="89"/>
        <v>1.9503546099290781</v>
      </c>
      <c r="AC177">
        <v>42</v>
      </c>
      <c r="AD177" s="3">
        <f t="shared" si="90"/>
        <v>7.4468085106382977</v>
      </c>
      <c r="AE177">
        <v>35</v>
      </c>
      <c r="AF177" s="3">
        <f t="shared" si="91"/>
        <v>6.205673758865248</v>
      </c>
      <c r="AG177">
        <v>30</v>
      </c>
      <c r="AH177" s="3">
        <f t="shared" si="92"/>
        <v>5.3191489361702127</v>
      </c>
      <c r="AI177">
        <v>99</v>
      </c>
      <c r="AJ177" s="3">
        <f t="shared" si="93"/>
        <v>17.553191489361701</v>
      </c>
      <c r="AK177">
        <v>222</v>
      </c>
      <c r="AL177" s="3">
        <f t="shared" si="94"/>
        <v>39.361702127659576</v>
      </c>
      <c r="AM177">
        <v>18</v>
      </c>
      <c r="AN177" s="3">
        <f t="shared" si="95"/>
        <v>3.1914893617021276</v>
      </c>
      <c r="AO177">
        <v>13</v>
      </c>
      <c r="AP177" s="3">
        <f t="shared" si="96"/>
        <v>2.3049645390070923</v>
      </c>
      <c r="AQ177">
        <v>13</v>
      </c>
      <c r="AR177" s="3">
        <f t="shared" si="97"/>
        <v>2.3049645390070923</v>
      </c>
      <c r="AS177">
        <v>45</v>
      </c>
      <c r="AT177" s="3">
        <f t="shared" si="98"/>
        <v>7.9787234042553195</v>
      </c>
      <c r="AU177" t="s">
        <v>370</v>
      </c>
      <c r="AV177" s="72">
        <f>Дума_партии[[#This Row],[КОИБ]]</f>
        <v>2017</v>
      </c>
      <c r="AW177" s="1" t="str">
        <f>IF(Дума_партии[[#This Row],[Наблюдателей]]=0,"",Дума_партии[[#This Row],[Наблюдателей]])</f>
        <v/>
      </c>
      <c r="AX177"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108.82191780821917</v>
      </c>
      <c r="AY177" s="10">
        <f>2*(Мособлдума_партии[[#This Row],[6. Всероссийская политическая партия "ЕДИНАЯ РОССИЯ"]]-(AB$203/100)*Мособлдума_партии[[#This Row],[Число действительных бюллетеней]])</f>
        <v>158.88</v>
      </c>
      <c r="AZ177" s="10">
        <f>(Мособлдума_партии[[#This Row],[Вброс]]+Мособлдума_партии[[#This Row],[Перекладывание]])/2</f>
        <v>133.85095890410958</v>
      </c>
    </row>
    <row r="178" spans="2:52" x14ac:dyDescent="0.4">
      <c r="B178" t="s">
        <v>74</v>
      </c>
      <c r="C178" t="s">
        <v>366</v>
      </c>
      <c r="D178" t="s">
        <v>227</v>
      </c>
      <c r="E178" t="s">
        <v>306</v>
      </c>
      <c r="F178" s="8">
        <f t="shared" ca="1" si="83"/>
        <v>3941</v>
      </c>
      <c r="G178" s="8" t="str">
        <f>Дума_партии[[#This Row],[Местоположение]]</f>
        <v>Новоивановское</v>
      </c>
      <c r="H178" s="2" t="str">
        <f>LEFT(Мособлдума_партии[[#This Row],[tik]],4)&amp;"."&amp;IF(ISNUMBER(VALUE(RIGHT(Мособлдума_партии[[#This Row],[tik]]))),RIGHT(Мособлдума_партии[[#This Row],[tik]]),"")</f>
        <v>Один.2</v>
      </c>
      <c r="I178">
        <v>1677</v>
      </c>
      <c r="J178" s="8">
        <f>Мособлдума_партии[[#This Row],[Число избирателей, внесенных в список на момент окончания голосования]]</f>
        <v>1677</v>
      </c>
      <c r="K178">
        <v>1500</v>
      </c>
      <c r="L178" s="1"/>
      <c r="M178">
        <v>693</v>
      </c>
      <c r="N178">
        <v>111</v>
      </c>
      <c r="O178" s="3">
        <f t="shared" si="84"/>
        <v>47.942754919499109</v>
      </c>
      <c r="P178" s="3">
        <f t="shared" si="85"/>
        <v>6.6189624329159216</v>
      </c>
      <c r="Q178">
        <v>696</v>
      </c>
      <c r="R178">
        <v>111</v>
      </c>
      <c r="S178">
        <v>693</v>
      </c>
      <c r="T178" s="1">
        <f t="shared" si="86"/>
        <v>804</v>
      </c>
      <c r="U178" s="3">
        <f t="shared" si="87"/>
        <v>13.805970149253731</v>
      </c>
      <c r="V178">
        <v>17</v>
      </c>
      <c r="W178" s="3">
        <f t="shared" si="88"/>
        <v>2.1144278606965172</v>
      </c>
      <c r="X178">
        <v>787</v>
      </c>
      <c r="Y178">
        <v>0</v>
      </c>
      <c r="Z178">
        <v>0</v>
      </c>
      <c r="AA178">
        <v>26</v>
      </c>
      <c r="AB178" s="3">
        <f t="shared" si="89"/>
        <v>3.2338308457711444</v>
      </c>
      <c r="AC178">
        <v>55</v>
      </c>
      <c r="AD178" s="3">
        <f t="shared" si="90"/>
        <v>6.8407960199004973</v>
      </c>
      <c r="AE178">
        <v>50</v>
      </c>
      <c r="AF178" s="3">
        <f t="shared" si="91"/>
        <v>6.2189054726368163</v>
      </c>
      <c r="AG178">
        <v>38</v>
      </c>
      <c r="AH178" s="3">
        <f t="shared" si="92"/>
        <v>4.7263681592039797</v>
      </c>
      <c r="AI178">
        <v>196</v>
      </c>
      <c r="AJ178" s="3">
        <f t="shared" si="93"/>
        <v>24.378109452736318</v>
      </c>
      <c r="AK178">
        <v>284</v>
      </c>
      <c r="AL178" s="3">
        <f t="shared" si="94"/>
        <v>35.323383084577117</v>
      </c>
      <c r="AM178">
        <v>25</v>
      </c>
      <c r="AN178" s="3">
        <f t="shared" si="95"/>
        <v>3.1094527363184081</v>
      </c>
      <c r="AO178">
        <v>14</v>
      </c>
      <c r="AP178" s="3">
        <f t="shared" si="96"/>
        <v>1.7412935323383085</v>
      </c>
      <c r="AQ178">
        <v>25</v>
      </c>
      <c r="AR178" s="3">
        <f t="shared" si="97"/>
        <v>3.1094527363184081</v>
      </c>
      <c r="AS178">
        <v>74</v>
      </c>
      <c r="AT178" s="3">
        <f t="shared" si="98"/>
        <v>9.2039800995024876</v>
      </c>
      <c r="AU178" t="s">
        <v>370</v>
      </c>
      <c r="AV178" s="72">
        <f>Дума_партии[[#This Row],[КОИБ]]</f>
        <v>2017</v>
      </c>
      <c r="AW178" s="1" t="str">
        <f>IF(Дума_партии[[#This Row],[Наблюдателей]]=0,"",Дума_партии[[#This Row],[Наблюдателей]])</f>
        <v/>
      </c>
      <c r="AX178"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97.958904109589014</v>
      </c>
      <c r="AY178" s="10">
        <f>2*(Мособлдума_партии[[#This Row],[6. Всероссийская политическая партия "ЕДИНАЯ РОССИЯ"]]-(AB$203/100)*Мособлдума_партии[[#This Row],[Число действительных бюллетеней]])</f>
        <v>143.01999999999998</v>
      </c>
      <c r="AZ178" s="10">
        <f>(Мособлдума_партии[[#This Row],[Вброс]]+Мособлдума_партии[[#This Row],[Перекладывание]])/2</f>
        <v>120.4894520547945</v>
      </c>
    </row>
    <row r="179" spans="2:52" x14ac:dyDescent="0.4">
      <c r="B179" t="s">
        <v>74</v>
      </c>
      <c r="C179" t="s">
        <v>366</v>
      </c>
      <c r="D179" t="s">
        <v>227</v>
      </c>
      <c r="E179" t="s">
        <v>307</v>
      </c>
      <c r="F179" s="8">
        <f t="shared" ca="1" si="83"/>
        <v>3943</v>
      </c>
      <c r="G179" s="8" t="str">
        <f>Дума_партии[[#This Row],[Местоположение]]</f>
        <v>Новоивановское</v>
      </c>
      <c r="H179" s="2" t="str">
        <f>LEFT(Мособлдума_партии[[#This Row],[tik]],4)&amp;"."&amp;IF(ISNUMBER(VALUE(RIGHT(Мособлдума_партии[[#This Row],[tik]]))),RIGHT(Мособлдума_партии[[#This Row],[tik]]),"")</f>
        <v>Один.2</v>
      </c>
      <c r="I179">
        <v>2354</v>
      </c>
      <c r="J179" s="8">
        <f>Мособлдума_партии[[#This Row],[Число избирателей, внесенных в список на момент окончания голосования]]</f>
        <v>2354</v>
      </c>
      <c r="K179">
        <v>2000</v>
      </c>
      <c r="L179" s="1"/>
      <c r="M179">
        <v>1472</v>
      </c>
      <c r="N179">
        <v>6</v>
      </c>
      <c r="O179" s="3">
        <f t="shared" si="84"/>
        <v>62.786745964316054</v>
      </c>
      <c r="P179" s="3">
        <f t="shared" si="85"/>
        <v>0.25488530161427359</v>
      </c>
      <c r="Q179">
        <v>522</v>
      </c>
      <c r="R179">
        <v>6</v>
      </c>
      <c r="S179">
        <v>1472</v>
      </c>
      <c r="T179" s="1">
        <f t="shared" si="86"/>
        <v>1478</v>
      </c>
      <c r="U179" s="3">
        <f t="shared" si="87"/>
        <v>0.40595399188092018</v>
      </c>
      <c r="V179">
        <v>9</v>
      </c>
      <c r="W179" s="3">
        <f t="shared" si="88"/>
        <v>0.60893098782138022</v>
      </c>
      <c r="X179">
        <v>1469</v>
      </c>
      <c r="Y179">
        <v>0</v>
      </c>
      <c r="Z179">
        <v>0</v>
      </c>
      <c r="AA179">
        <v>15</v>
      </c>
      <c r="AB179" s="3">
        <f t="shared" si="89"/>
        <v>1.0148849797023005</v>
      </c>
      <c r="AC179">
        <v>59</v>
      </c>
      <c r="AD179" s="3">
        <f t="shared" si="90"/>
        <v>3.9918809201623815</v>
      </c>
      <c r="AE179">
        <v>56</v>
      </c>
      <c r="AF179" s="3">
        <f t="shared" si="91"/>
        <v>3.7889039242219216</v>
      </c>
      <c r="AG179">
        <v>31</v>
      </c>
      <c r="AH179" s="3">
        <f t="shared" si="92"/>
        <v>2.0974289580514207</v>
      </c>
      <c r="AI179">
        <v>158</v>
      </c>
      <c r="AJ179" s="3">
        <f t="shared" si="93"/>
        <v>10.690121786197563</v>
      </c>
      <c r="AK179">
        <v>1035</v>
      </c>
      <c r="AL179" s="3">
        <f t="shared" si="94"/>
        <v>70.027063599458728</v>
      </c>
      <c r="AM179">
        <v>15</v>
      </c>
      <c r="AN179" s="3">
        <f t="shared" si="95"/>
        <v>1.0148849797023005</v>
      </c>
      <c r="AO179">
        <v>25</v>
      </c>
      <c r="AP179" s="3">
        <f t="shared" si="96"/>
        <v>1.6914749661705006</v>
      </c>
      <c r="AQ179">
        <v>14</v>
      </c>
      <c r="AR179" s="3">
        <f t="shared" si="97"/>
        <v>0.94722598105548039</v>
      </c>
      <c r="AS179">
        <v>61</v>
      </c>
      <c r="AT179" s="3">
        <f t="shared" si="98"/>
        <v>4.1271989174560213</v>
      </c>
      <c r="AU179" t="s">
        <v>370</v>
      </c>
      <c r="AV179" s="72" t="str">
        <f>Дума_партии[[#This Row],[КОИБ]]</f>
        <v>N</v>
      </c>
      <c r="AW179" s="1" t="str">
        <f>IF(Дума_партии[[#This Row],[Наблюдателей]]=0,"",Дума_партии[[#This Row],[Наблюдателей]])</f>
        <v/>
      </c>
      <c r="AX179"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874.47945205479448</v>
      </c>
      <c r="AY179" s="10">
        <f>2*(Мособлдума_партии[[#This Row],[6. Всероссийская политическая партия "ЕДИНАЯ РОССИЯ"]]-(AB$203/100)*Мособлдума_партии[[#This Row],[Число действительных бюллетеней]])</f>
        <v>1276.7399999999998</v>
      </c>
      <c r="AZ179" s="10">
        <f>(Мособлдума_партии[[#This Row],[Вброс]]+Мособлдума_партии[[#This Row],[Перекладывание]])/2</f>
        <v>1075.6097260273971</v>
      </c>
    </row>
    <row r="180" spans="2:52" x14ac:dyDescent="0.4">
      <c r="B180" t="s">
        <v>74</v>
      </c>
      <c r="C180" t="s">
        <v>366</v>
      </c>
      <c r="D180" t="s">
        <v>227</v>
      </c>
      <c r="E180" t="s">
        <v>308</v>
      </c>
      <c r="F180" s="8">
        <f t="shared" ca="1" si="83"/>
        <v>3944</v>
      </c>
      <c r="G180" s="8" t="str">
        <f>Дума_партии[[#This Row],[Местоположение]]</f>
        <v>Заречье</v>
      </c>
      <c r="H180" s="2" t="str">
        <f>LEFT(Мособлдума_партии[[#This Row],[tik]],4)&amp;"."&amp;IF(ISNUMBER(VALUE(RIGHT(Мособлдума_партии[[#This Row],[tik]]))),RIGHT(Мособлдума_партии[[#This Row],[tik]]),"")</f>
        <v>Один.2</v>
      </c>
      <c r="I180">
        <v>1806</v>
      </c>
      <c r="J180" s="8">
        <f>Мособлдума_партии[[#This Row],[Число избирателей, внесенных в список на момент окончания голосования]]</f>
        <v>1806</v>
      </c>
      <c r="K180">
        <v>1500</v>
      </c>
      <c r="L180" s="1"/>
      <c r="M180">
        <v>322</v>
      </c>
      <c r="N180">
        <v>248</v>
      </c>
      <c r="O180" s="3">
        <f t="shared" si="84"/>
        <v>31.561461794019934</v>
      </c>
      <c r="P180" s="3">
        <f t="shared" si="85"/>
        <v>13.732004429678849</v>
      </c>
      <c r="Q180">
        <v>930</v>
      </c>
      <c r="R180">
        <v>248</v>
      </c>
      <c r="S180">
        <v>322</v>
      </c>
      <c r="T180" s="1">
        <f t="shared" si="86"/>
        <v>570</v>
      </c>
      <c r="U180" s="3">
        <f t="shared" si="87"/>
        <v>43.508771929824562</v>
      </c>
      <c r="V180">
        <v>15</v>
      </c>
      <c r="W180" s="3">
        <f t="shared" si="88"/>
        <v>2.6315789473684212</v>
      </c>
      <c r="X180">
        <v>555</v>
      </c>
      <c r="Y180">
        <v>0</v>
      </c>
      <c r="Z180">
        <v>0</v>
      </c>
      <c r="AA180">
        <v>8</v>
      </c>
      <c r="AB180" s="3">
        <f t="shared" si="89"/>
        <v>1.4035087719298245</v>
      </c>
      <c r="AC180">
        <v>35</v>
      </c>
      <c r="AD180" s="3">
        <f t="shared" si="90"/>
        <v>6.1403508771929829</v>
      </c>
      <c r="AE180">
        <v>26</v>
      </c>
      <c r="AF180" s="3">
        <f t="shared" si="91"/>
        <v>4.5614035087719298</v>
      </c>
      <c r="AG180">
        <v>22</v>
      </c>
      <c r="AH180" s="3">
        <f t="shared" si="92"/>
        <v>3.8596491228070176</v>
      </c>
      <c r="AI180">
        <v>92</v>
      </c>
      <c r="AJ180" s="3">
        <f t="shared" si="93"/>
        <v>16.140350877192983</v>
      </c>
      <c r="AK180">
        <v>308</v>
      </c>
      <c r="AL180" s="3">
        <f t="shared" si="94"/>
        <v>54.035087719298247</v>
      </c>
      <c r="AM180">
        <v>13</v>
      </c>
      <c r="AN180" s="3">
        <f t="shared" si="95"/>
        <v>2.2807017543859649</v>
      </c>
      <c r="AO180">
        <v>13</v>
      </c>
      <c r="AP180" s="3">
        <f t="shared" si="96"/>
        <v>2.2807017543859649</v>
      </c>
      <c r="AQ180">
        <v>10</v>
      </c>
      <c r="AR180" s="3">
        <f t="shared" si="97"/>
        <v>1.7543859649122806</v>
      </c>
      <c r="AS180">
        <v>28</v>
      </c>
      <c r="AT180" s="3">
        <f t="shared" si="98"/>
        <v>4.9122807017543861</v>
      </c>
      <c r="AU180" t="s">
        <v>370</v>
      </c>
      <c r="AV180" s="72">
        <f>Дума_партии[[#This Row],[КОИБ]]</f>
        <v>2017</v>
      </c>
      <c r="AW180" s="1" t="str">
        <f>IF(Дума_партии[[#This Row],[Наблюдателей]]=0,"",Дума_партии[[#This Row],[Наблюдателей]])</f>
        <v/>
      </c>
      <c r="AX180"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216.64383561643837</v>
      </c>
      <c r="AY180" s="10">
        <f>2*(Мособлдума_партии[[#This Row],[6. Всероссийская политическая партия "ЕДИНАЯ РОССИЯ"]]-(AB$203/100)*Мособлдума_партии[[#This Row],[Число действительных бюллетеней]])</f>
        <v>316.29999999999995</v>
      </c>
      <c r="AZ180" s="10">
        <f>(Мособлдума_партии[[#This Row],[Вброс]]+Мособлдума_партии[[#This Row],[Перекладывание]])/2</f>
        <v>266.47191780821913</v>
      </c>
    </row>
    <row r="181" spans="2:52" s="28" customFormat="1" x14ac:dyDescent="0.4">
      <c r="B181" s="28" t="s">
        <v>74</v>
      </c>
      <c r="C181" s="28" t="s">
        <v>366</v>
      </c>
      <c r="D181" s="28" t="s">
        <v>227</v>
      </c>
      <c r="E181" s="28" t="s">
        <v>309</v>
      </c>
      <c r="F181" s="29">
        <f t="shared" ca="1" si="83"/>
        <v>3946</v>
      </c>
      <c r="G181" s="29" t="str">
        <f>Дума_партии[[#This Row],[Местоположение]]</f>
        <v>Барвиха</v>
      </c>
      <c r="H181" s="43" t="str">
        <f>LEFT(Мособлдума_партии[[#This Row],[tik]],4)&amp;"."&amp;IF(ISNUMBER(VALUE(RIGHT(Мособлдума_партии[[#This Row],[tik]]))),RIGHT(Мособлдума_партии[[#This Row],[tik]]),"")</f>
        <v>Один.2</v>
      </c>
      <c r="I181" s="28">
        <v>1294</v>
      </c>
      <c r="J181" s="29">
        <f>Мособлдума_партии[[#This Row],[Число избирателей, внесенных в список на момент окончания голосования]]</f>
        <v>1294</v>
      </c>
      <c r="K181" s="28">
        <v>1000</v>
      </c>
      <c r="M181" s="28">
        <v>520</v>
      </c>
      <c r="N181" s="28">
        <v>10</v>
      </c>
      <c r="O181" s="30">
        <f t="shared" si="84"/>
        <v>40.958268933539415</v>
      </c>
      <c r="P181" s="30">
        <f t="shared" si="85"/>
        <v>0.77279752704791349</v>
      </c>
      <c r="Q181" s="28">
        <v>470</v>
      </c>
      <c r="R181" s="28">
        <v>10</v>
      </c>
      <c r="S181" s="28">
        <v>520</v>
      </c>
      <c r="T181" s="28">
        <f t="shared" si="86"/>
        <v>530</v>
      </c>
      <c r="U181" s="30">
        <f t="shared" si="87"/>
        <v>1.8867924528301887</v>
      </c>
      <c r="V181" s="28">
        <v>26</v>
      </c>
      <c r="W181" s="30">
        <f t="shared" si="88"/>
        <v>4.9056603773584904</v>
      </c>
      <c r="X181" s="28">
        <v>504</v>
      </c>
      <c r="Y181" s="28">
        <v>0</v>
      </c>
      <c r="Z181" s="28">
        <v>0</v>
      </c>
      <c r="AA181" s="28">
        <v>3</v>
      </c>
      <c r="AB181" s="30">
        <f t="shared" si="89"/>
        <v>0.56603773584905659</v>
      </c>
      <c r="AC181" s="28">
        <v>27</v>
      </c>
      <c r="AD181" s="30">
        <f t="shared" si="90"/>
        <v>5.0943396226415096</v>
      </c>
      <c r="AE181" s="28">
        <v>31</v>
      </c>
      <c r="AF181" s="30">
        <f t="shared" si="91"/>
        <v>5.8490566037735849</v>
      </c>
      <c r="AG181" s="28">
        <v>41</v>
      </c>
      <c r="AH181" s="30">
        <f t="shared" si="92"/>
        <v>7.7358490566037732</v>
      </c>
      <c r="AI181" s="28">
        <v>221</v>
      </c>
      <c r="AJ181" s="30">
        <f t="shared" si="93"/>
        <v>41.698113207547166</v>
      </c>
      <c r="AK181" s="28">
        <v>78</v>
      </c>
      <c r="AL181" s="30">
        <f t="shared" si="94"/>
        <v>14.716981132075471</v>
      </c>
      <c r="AM181" s="28">
        <v>17</v>
      </c>
      <c r="AN181" s="30">
        <f t="shared" si="95"/>
        <v>3.2075471698113209</v>
      </c>
      <c r="AO181" s="28">
        <v>11</v>
      </c>
      <c r="AP181" s="30">
        <f t="shared" si="96"/>
        <v>2.0754716981132075</v>
      </c>
      <c r="AQ181" s="28">
        <v>36</v>
      </c>
      <c r="AR181" s="30">
        <f t="shared" si="97"/>
        <v>6.7924528301886795</v>
      </c>
      <c r="AS181" s="28">
        <v>39</v>
      </c>
      <c r="AT181" s="30">
        <f t="shared" si="98"/>
        <v>7.3584905660377355</v>
      </c>
      <c r="AU181" s="28" t="s">
        <v>370</v>
      </c>
      <c r="AV181" s="74">
        <f>Дума_партии[[#This Row],[КОИБ]]</f>
        <v>2017</v>
      </c>
      <c r="AW181" s="28">
        <f>IF(Дума_партии[[#This Row],[Наблюдателей]]=0,"",Дума_партии[[#This Row],[Наблюдателей]])</f>
        <v>3</v>
      </c>
      <c r="AX181" s="31">
        <f>Мособлдума_партии[[#This Row],[5. Политическая партия "КОММУНИСТИЧЕСКАЯ ПАРТИЯ РОССИЙСКОЙ ФЕДЕРАЦИИ"]]-((AB$205/100)/(1-(AB$205/100)))*(Мособлдума_партии[[#This Row],[Число действительных бюллетеней]]-Мособлдума_партии[[#This Row],[5. Политическая партия "КОММУНИСТИЧЕСКАЯ ПАРТИЯ РОССИЙСКОЙ ФЕДЕРАЦИИ"]])</f>
        <v>113.6551724137931</v>
      </c>
      <c r="AY181" s="31">
        <f>2*(Мособлдума_партии[[#This Row],[5. Политическая партия "КОММУНИСТИЧЕСКАЯ ПАРТИЯ РОССИЙСКОЙ ФЕДЕРАЦИИ"]]-(AB$205/100)*Мособлдума_партии[[#This Row],[Число действительных бюллетеней]])</f>
        <v>164.79999999999995</v>
      </c>
      <c r="AZ181" s="31">
        <f>(Мособлдума_партии[[#This Row],[Вброс]]+Мособлдума_партии[[#This Row],[Перекладывание]])/2</f>
        <v>139.22758620689652</v>
      </c>
    </row>
    <row r="182" spans="2:52" s="28" customFormat="1" x14ac:dyDescent="0.4">
      <c r="B182" s="28" t="s">
        <v>74</v>
      </c>
      <c r="C182" s="28" t="s">
        <v>366</v>
      </c>
      <c r="D182" s="28" t="s">
        <v>227</v>
      </c>
      <c r="E182" s="28" t="s">
        <v>310</v>
      </c>
      <c r="F182" s="29">
        <f t="shared" ca="1" si="83"/>
        <v>3947</v>
      </c>
      <c r="G182" s="29" t="str">
        <f>Дума_партии[[#This Row],[Местоположение]]</f>
        <v>Барвиха</v>
      </c>
      <c r="H182" s="43" t="str">
        <f>LEFT(Мособлдума_партии[[#This Row],[tik]],4)&amp;"."&amp;IF(ISNUMBER(VALUE(RIGHT(Мособлдума_партии[[#This Row],[tik]]))),RIGHT(Мособлдума_партии[[#This Row],[tik]]),"")</f>
        <v>Один.2</v>
      </c>
      <c r="I182" s="28">
        <v>1640</v>
      </c>
      <c r="J182" s="29">
        <f>Мособлдума_партии[[#This Row],[Число избирателей, внесенных в список на момент окончания голосования]]</f>
        <v>1640</v>
      </c>
      <c r="K182" s="28">
        <v>1400</v>
      </c>
      <c r="M182" s="28">
        <v>672</v>
      </c>
      <c r="N182" s="28">
        <v>23</v>
      </c>
      <c r="O182" s="30">
        <f t="shared" si="84"/>
        <v>42.378048780487802</v>
      </c>
      <c r="P182" s="30">
        <f t="shared" si="85"/>
        <v>1.4024390243902438</v>
      </c>
      <c r="Q182" s="28">
        <v>705</v>
      </c>
      <c r="R182" s="28">
        <v>23</v>
      </c>
      <c r="S182" s="28">
        <v>672</v>
      </c>
      <c r="T182" s="28">
        <f t="shared" si="86"/>
        <v>695</v>
      </c>
      <c r="U182" s="30">
        <f t="shared" si="87"/>
        <v>3.3093525179856114</v>
      </c>
      <c r="V182" s="28">
        <v>34</v>
      </c>
      <c r="W182" s="30">
        <f t="shared" si="88"/>
        <v>4.8920863309352516</v>
      </c>
      <c r="X182" s="28">
        <v>661</v>
      </c>
      <c r="Y182" s="28">
        <v>0</v>
      </c>
      <c r="Z182" s="28">
        <v>0</v>
      </c>
      <c r="AA182" s="28">
        <v>13</v>
      </c>
      <c r="AB182" s="30">
        <f t="shared" si="89"/>
        <v>1.8705035971223021</v>
      </c>
      <c r="AC182" s="28">
        <v>40</v>
      </c>
      <c r="AD182" s="30">
        <f t="shared" si="90"/>
        <v>5.7553956834532372</v>
      </c>
      <c r="AE182" s="28">
        <v>41</v>
      </c>
      <c r="AF182" s="30">
        <f t="shared" si="91"/>
        <v>5.8992805755395681</v>
      </c>
      <c r="AG182" s="28">
        <v>39</v>
      </c>
      <c r="AH182" s="30">
        <f t="shared" si="92"/>
        <v>5.6115107913669062</v>
      </c>
      <c r="AI182" s="28">
        <v>335</v>
      </c>
      <c r="AJ182" s="30">
        <f t="shared" si="93"/>
        <v>48.201438848920866</v>
      </c>
      <c r="AK182" s="28">
        <v>83</v>
      </c>
      <c r="AL182" s="30">
        <f t="shared" si="94"/>
        <v>11.942446043165468</v>
      </c>
      <c r="AM182" s="28">
        <v>12</v>
      </c>
      <c r="AN182" s="30">
        <f t="shared" si="95"/>
        <v>1.7266187050359711</v>
      </c>
      <c r="AO182" s="28">
        <v>12</v>
      </c>
      <c r="AP182" s="30">
        <f t="shared" si="96"/>
        <v>1.7266187050359711</v>
      </c>
      <c r="AQ182" s="28">
        <v>41</v>
      </c>
      <c r="AR182" s="30">
        <f t="shared" si="97"/>
        <v>5.8992805755395681</v>
      </c>
      <c r="AS182" s="28">
        <v>45</v>
      </c>
      <c r="AT182" s="30">
        <f t="shared" si="98"/>
        <v>6.4748201438848918</v>
      </c>
      <c r="AU182" s="28" t="s">
        <v>370</v>
      </c>
      <c r="AV182" s="74">
        <f>Дума_партии[[#This Row],[КОИБ]]</f>
        <v>2017</v>
      </c>
      <c r="AW182" s="28">
        <f>IF(Дума_партии[[#This Row],[Наблюдателей]]=0,"",Дума_партии[[#This Row],[Наблюдателей]])</f>
        <v>4</v>
      </c>
      <c r="AX182" s="31">
        <f>Мособлдума_партии[[#This Row],[5. Политическая партия "КОММУНИСТИЧЕСКАЯ ПАРТИЯ РОССИЙСКОЙ ФЕДЕРАЦИИ"]]-((AB$205/100)/(1-(AB$205/100)))*(Мособлдума_партии[[#This Row],[Число действительных бюллетеней]]-Мособлдума_партии[[#This Row],[5. Политическая партия "КОММУНИСТИЧЕСКАЯ ПАРТИЯ РОССИЙСКОЙ ФЕДЕРАЦИИ"]])</f>
        <v>211.34482758620689</v>
      </c>
      <c r="AY182" s="31">
        <f>2*(Мособлдума_партии[[#This Row],[5. Политическая партия "КОММУНИСТИЧЕСКАЯ ПАРТИЯ РОССИЙСКОЙ ФЕДЕРАЦИИ"]]-(AB$205/100)*Мособлдума_партии[[#This Row],[Число действительных бюллетеней]])</f>
        <v>306.45</v>
      </c>
      <c r="AZ182" s="31">
        <f>(Мособлдума_партии[[#This Row],[Вброс]]+Мособлдума_партии[[#This Row],[Перекладывание]])/2</f>
        <v>258.89741379310345</v>
      </c>
    </row>
    <row r="183" spans="2:52" x14ac:dyDescent="0.4">
      <c r="B183" t="s">
        <v>74</v>
      </c>
      <c r="C183" t="s">
        <v>366</v>
      </c>
      <c r="D183" t="s">
        <v>227</v>
      </c>
      <c r="E183" t="s">
        <v>311</v>
      </c>
      <c r="F183" s="8">
        <f t="shared" ca="1" si="83"/>
        <v>3948</v>
      </c>
      <c r="G183" s="8" t="str">
        <f>Дума_партии[[#This Row],[Местоположение]]</f>
        <v>Барвиха</v>
      </c>
      <c r="H183" s="2" t="str">
        <f>LEFT(Мособлдума_партии[[#This Row],[tik]],4)&amp;"."&amp;IF(ISNUMBER(VALUE(RIGHT(Мособлдума_партии[[#This Row],[tik]]))),RIGHT(Мособлдума_партии[[#This Row],[tik]]),"")</f>
        <v>Один.2</v>
      </c>
      <c r="I183">
        <v>1068</v>
      </c>
      <c r="J183" s="8">
        <f>Мособлдума_партии[[#This Row],[Число избирателей, внесенных в список на момент окончания голосования]]</f>
        <v>1068</v>
      </c>
      <c r="K183">
        <v>900</v>
      </c>
      <c r="L183" s="1"/>
      <c r="M183">
        <v>235</v>
      </c>
      <c r="N183">
        <v>21</v>
      </c>
      <c r="O183" s="3">
        <f t="shared" si="84"/>
        <v>23.970037453183522</v>
      </c>
      <c r="P183" s="3">
        <f t="shared" si="85"/>
        <v>1.9662921348314606</v>
      </c>
      <c r="Q183">
        <v>644</v>
      </c>
      <c r="R183">
        <v>21</v>
      </c>
      <c r="S183">
        <v>235</v>
      </c>
      <c r="T183" s="1">
        <f t="shared" si="86"/>
        <v>256</v>
      </c>
      <c r="U183" s="3">
        <f t="shared" si="87"/>
        <v>8.203125</v>
      </c>
      <c r="V183">
        <v>7</v>
      </c>
      <c r="W183" s="3">
        <f t="shared" si="88"/>
        <v>2.734375</v>
      </c>
      <c r="X183">
        <v>249</v>
      </c>
      <c r="Y183">
        <v>0</v>
      </c>
      <c r="Z183">
        <v>0</v>
      </c>
      <c r="AA183">
        <v>6</v>
      </c>
      <c r="AB183" s="3">
        <f t="shared" si="89"/>
        <v>2.34375</v>
      </c>
      <c r="AC183">
        <v>23</v>
      </c>
      <c r="AD183" s="3">
        <f t="shared" si="90"/>
        <v>8.984375</v>
      </c>
      <c r="AE183">
        <v>18</v>
      </c>
      <c r="AF183" s="3">
        <f t="shared" si="91"/>
        <v>7.03125</v>
      </c>
      <c r="AG183">
        <v>8</v>
      </c>
      <c r="AH183" s="3">
        <f t="shared" si="92"/>
        <v>3.125</v>
      </c>
      <c r="AI183">
        <v>69</v>
      </c>
      <c r="AJ183" s="3">
        <f t="shared" si="93"/>
        <v>26.953125</v>
      </c>
      <c r="AK183">
        <v>78</v>
      </c>
      <c r="AL183" s="3">
        <f t="shared" si="94"/>
        <v>30.46875</v>
      </c>
      <c r="AM183">
        <v>6</v>
      </c>
      <c r="AN183" s="3">
        <f t="shared" si="95"/>
        <v>2.34375</v>
      </c>
      <c r="AO183">
        <v>18</v>
      </c>
      <c r="AP183" s="3">
        <f t="shared" si="96"/>
        <v>7.03125</v>
      </c>
      <c r="AQ183">
        <v>9</v>
      </c>
      <c r="AR183" s="3">
        <f t="shared" si="97"/>
        <v>3.515625</v>
      </c>
      <c r="AS183">
        <v>14</v>
      </c>
      <c r="AT183" s="3">
        <f t="shared" si="98"/>
        <v>5.46875</v>
      </c>
      <c r="AU183" t="s">
        <v>370</v>
      </c>
      <c r="AV183" s="72">
        <f>Дума_партии[[#This Row],[КОИБ]]</f>
        <v>2017</v>
      </c>
      <c r="AW183" s="1">
        <f>IF(Дума_партии[[#This Row],[Наблюдателей]]=0,"",Дума_партии[[#This Row],[Наблюдателей]])</f>
        <v>1</v>
      </c>
      <c r="AX183" s="10">
        <f>Мособлдума_партии[[#This Row],[6. Всероссийская политическая партия "ЕДИНАЯ РОССИЯ"]]-((AB$203/100)/(1-(AB$203/100)))*(Мособлдума_партии[[#This Row],[Число действительных бюллетеней]]-Мособлдума_партии[[#This Row],[6. Всероссийская политическая партия "ЕДИНАЯ РОССИЯ"]])</f>
        <v>14.753424657534239</v>
      </c>
      <c r="AY183" s="10">
        <f>2*(Мособлдума_партии[[#This Row],[6. Всероссийская политическая партия "ЕДИНАЯ РОССИЯ"]]-(AB$203/100)*Мособлдума_партии[[#This Row],[Число действительных бюллетеней]])</f>
        <v>21.539999999999992</v>
      </c>
      <c r="AZ183" s="10">
        <f>(Мособлдума_партии[[#This Row],[Вброс]]+Мособлдума_партии[[#This Row],[Перекладывание]])/2</f>
        <v>18.146712328767116</v>
      </c>
    </row>
    <row r="184" spans="2:52" x14ac:dyDescent="0.4">
      <c r="B184" s="1" t="s">
        <v>95</v>
      </c>
      <c r="F184" s="1">
        <f ca="1">SUBTOTAL(103,Мособлдума_партии[УИК])</f>
        <v>182</v>
      </c>
      <c r="I184" s="1">
        <f>SUBTOTAL(109,Мособлдума_партии[Число избирателей, внесенных в список на момент окончания голосования])</f>
        <v>316069</v>
      </c>
      <c r="L184" s="1"/>
      <c r="M184" s="1">
        <f>SUBTOTAL(109,Мособлдума_партии[Число бюллетеней, выданных избирателям в помещении для голосования в день голосования])</f>
        <v>113137</v>
      </c>
      <c r="N184" s="1">
        <f>SUBTOTAL(109,Мособлдума_партии[Число бюллетеней, выданных избирателям, проголосовавшим вне помещения для голосования в день голосо])</f>
        <v>13936</v>
      </c>
      <c r="T184" s="1">
        <f>SUBTOTAL(109,Мособлдума_партии[Обнаружено])</f>
        <v>125708</v>
      </c>
      <c r="V184" s="1"/>
      <c r="X184" s="22">
        <f>SUBTOTAL(109,Мособлдума_партии[Число действительных бюллетеней])</f>
        <v>120070</v>
      </c>
      <c r="AA184" s="1">
        <f>SUBTOTAL(109,Мособлдума_партии[1. ВСЕРОССИЙСКАЯ ПОЛИТИЧЕСКАЯ ПАРТИЯ "РОДИНА"])</f>
        <v>1972</v>
      </c>
      <c r="AC184" s="1">
        <f>SUBTOTAL(109,Мособлдума_партии[2. Политическая партия ЛДПР – Либерально-демократическая партия России])</f>
        <v>9827</v>
      </c>
      <c r="AE184" s="1">
        <f>SUBTOTAL(109,Мособлдума_партии[3. Политическая партия "НОВЫЕ ЛЮДИ"])</f>
        <v>8580</v>
      </c>
      <c r="AG184" s="1">
        <f>SUBTOTAL(109,Мособлдума_партии[4. ПАРТИЯ ПЕНСИОНЕРОВ])</f>
        <v>5928</v>
      </c>
      <c r="AI184" s="1">
        <f>SUBTOTAL(109,Мособлдума_партии[5. Политическая партия "КОММУНИСТИЧЕСКАЯ ПАРТИЯ РОССИЙСКОЙ ФЕДЕРАЦИИ"])</f>
        <v>26422</v>
      </c>
      <c r="AK184" s="1">
        <f>SUBTOTAL(109,Мособлдума_партии[6. Всероссийская политическая партия "ЕДИНАЯ РОССИЯ"])</f>
        <v>47142</v>
      </c>
      <c r="AM184" s="1">
        <f>SUBTOTAL(109,Мособлдума_партии[7. Политическая партия "Российская экологическая партия "ЗЕЛЁНЫЕ"])</f>
        <v>3076</v>
      </c>
      <c r="AO184" s="1">
        <f>SUBTOTAL(109,Мособлдума_партии[8. Политическая партия "Российская объединенная демократическая партия "ЯБЛОКО"])</f>
        <v>3064</v>
      </c>
      <c r="AQ184" s="1">
        <f>SUBTOTAL(109,Мособлдума_партии[9. Политическая партия КОММУНИСТИЧЕСКАЯ ПАРТИЯ КОММУНИСТЫ РОССИИ])</f>
        <v>4020</v>
      </c>
      <c r="AS184" s="1">
        <f>SUBTOTAL(109,Мособлдума_партии[10. Партия СПРАВЕДЛИВАЯ РОССИЯ – ЗА ПРАВДУ])</f>
        <v>10039</v>
      </c>
      <c r="AV184">
        <f>SUBTOTAL(102,Мособлдума_партии[КОИБ])</f>
        <v>143</v>
      </c>
      <c r="AW184" s="1">
        <f>SUBTOTAL(102,Мособлдума_партии[Наблюдателей])</f>
        <v>35</v>
      </c>
      <c r="AX184" s="69">
        <f>SUBTOTAL(109,Мособлдума_партии[Вброс])</f>
        <v>20703.972602739712</v>
      </c>
      <c r="AY184" s="69">
        <f>SUBTOTAL(109,Мособлдума_партии[Перекладывание])</f>
        <v>30224.550000000007</v>
      </c>
      <c r="AZ184" s="69">
        <f>SUBTOTAL(109,Мособлдума_партии[Оценка числа бюллетеней, сфальсифицированных в пользу ЕР])</f>
        <v>25464.261301369857</v>
      </c>
    </row>
    <row r="185" spans="2:52" x14ac:dyDescent="0.4">
      <c r="B185" s="3"/>
      <c r="C185" s="3"/>
      <c r="D185" s="3"/>
      <c r="E185" s="3"/>
      <c r="J185" s="3"/>
      <c r="K185" s="3"/>
      <c r="M185" s="3" t="s">
        <v>52</v>
      </c>
      <c r="N185" s="3">
        <f>100*(M184+N184)/I184</f>
        <v>40.204195919245478</v>
      </c>
      <c r="P185" s="3"/>
      <c r="Q185" s="3"/>
      <c r="R185" s="3"/>
      <c r="S185" s="3"/>
      <c r="U185" s="3"/>
      <c r="W185" s="3"/>
      <c r="X185" s="3"/>
      <c r="Y185" s="3"/>
      <c r="Z185" s="3"/>
      <c r="AA185" s="3">
        <f>100*AA184/$T184</f>
        <v>1.5687147993763324</v>
      </c>
      <c r="AB185" s="3"/>
      <c r="AC185" s="3">
        <f>100*AC184/$T184</f>
        <v>7.8173226843160339</v>
      </c>
      <c r="AD185" s="3"/>
      <c r="AE185" s="3">
        <f>100*AE184/$T184</f>
        <v>6.8253412670633535</v>
      </c>
      <c r="AF185" s="3"/>
      <c r="AG185" s="3">
        <f>100*AG184/$T184</f>
        <v>4.7156903299710438</v>
      </c>
      <c r="AH185" s="3"/>
      <c r="AI185" s="3">
        <f>100*AI184/$T184</f>
        <v>21.018550927546379</v>
      </c>
      <c r="AJ185" s="3"/>
      <c r="AK185" s="3">
        <f>100*AK184/$T184</f>
        <v>37.501193241480259</v>
      </c>
      <c r="AL185" s="3"/>
      <c r="AM185" s="3">
        <f>100*AM184/$T184</f>
        <v>2.4469405288446242</v>
      </c>
      <c r="AN185" s="3"/>
      <c r="AO185" s="3">
        <f>100*AO184/$T184</f>
        <v>2.4373945970025774</v>
      </c>
      <c r="AP185" s="3"/>
      <c r="AQ185" s="3">
        <f>100*AQ184/$T184</f>
        <v>3.1978871670856268</v>
      </c>
      <c r="AR185" s="3"/>
      <c r="AS185" s="3">
        <f>100*AS184/$T184</f>
        <v>7.9859674801921914</v>
      </c>
      <c r="AV185"/>
      <c r="AX185" s="3">
        <f>AX184*100/Мособлдума_партии[[#Totals],[6. Всероссийская политическая партия "ЕДИНАЯ РОССИЯ"]]</f>
        <v>43.918316157014367</v>
      </c>
      <c r="AY185" s="3">
        <f>AY184*100/Мособлдума_партии[[#Totals],[6. Всероссийская политическая партия "ЕДИНАЯ РОССИЯ"]]</f>
        <v>64.113847524500457</v>
      </c>
      <c r="AZ185" s="3">
        <f>AZ184*100/Мособлдума_партии[[#Totals],[6. Всероссийская политическая партия "ЕДИНАЯ РОССИЯ"]]</f>
        <v>54.016081840757408</v>
      </c>
    </row>
    <row r="186" spans="2:52" x14ac:dyDescent="0.4">
      <c r="B186" s="3"/>
      <c r="C186" s="3"/>
      <c r="D186" s="3"/>
      <c r="E186" s="3"/>
      <c r="J186" s="3"/>
      <c r="K186" s="3"/>
      <c r="M186" s="3"/>
      <c r="N186" s="3"/>
      <c r="P186" s="3"/>
      <c r="Q186" s="3"/>
      <c r="R186" s="3"/>
      <c r="S186" s="3"/>
      <c r="U186" s="3"/>
      <c r="W186" s="3"/>
      <c r="X186" s="3"/>
      <c r="Y186" s="3"/>
      <c r="Z186" s="3"/>
      <c r="AB186" s="3"/>
      <c r="AD186" s="3"/>
      <c r="AF186" s="3"/>
      <c r="AH186" s="3"/>
      <c r="AI186" s="23">
        <f>100*AI184/$X184</f>
        <v>22.005496793537102</v>
      </c>
      <c r="AJ186" s="3"/>
      <c r="AK186" s="23">
        <f>100*AK184/$X184</f>
        <v>39.262097110019155</v>
      </c>
      <c r="AL186" s="3"/>
      <c r="AN186" s="3"/>
      <c r="AP186" s="3"/>
      <c r="AR186" s="3"/>
      <c r="AX186" s="70" t="s">
        <v>447</v>
      </c>
      <c r="AY186" s="70"/>
      <c r="AZ186" s="70"/>
    </row>
    <row r="202" spans="27:28" x14ac:dyDescent="0.4">
      <c r="AA202" s="1" t="s">
        <v>362</v>
      </c>
    </row>
    <row r="203" spans="27:28" x14ac:dyDescent="0.4">
      <c r="AA203" s="3">
        <v>25.4</v>
      </c>
      <c r="AB203" s="27">
        <v>27</v>
      </c>
    </row>
    <row r="204" spans="27:28" x14ac:dyDescent="0.4">
      <c r="AA204" s="1" t="s">
        <v>363</v>
      </c>
      <c r="AB204" s="9"/>
    </row>
    <row r="205" spans="27:28" x14ac:dyDescent="0.4">
      <c r="AA205" s="3">
        <v>25.9</v>
      </c>
      <c r="AB205" s="27">
        <v>27.5</v>
      </c>
    </row>
    <row r="221" spans="27:27" x14ac:dyDescent="0.4">
      <c r="AA221" s="1" t="s">
        <v>127</v>
      </c>
    </row>
    <row r="222" spans="27:27" x14ac:dyDescent="0.4">
      <c r="AA222" s="1">
        <f>MAX($J2:$J183)*2</f>
        <v>6052</v>
      </c>
    </row>
  </sheetData>
  <phoneticPr fontId="3" type="noConversion"/>
  <pageMargins left="0.7" right="0.7" top="0.75" bottom="0.75" header="0.3" footer="0.3"/>
  <pageSetup paperSize="9" orientation="portrait" horizontalDpi="4294967295" verticalDpi="4294967295"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2F2F0-39AE-45A6-B770-C9CA23C7D0E2}">
  <dimension ref="A1:AZ222"/>
  <sheetViews>
    <sheetView zoomScale="70" zoomScaleNormal="70" workbookViewId="0">
      <pane ySplit="1" topLeftCell="A172" activePane="bottomLeft" state="frozen"/>
      <selection activeCell="B2" sqref="B2:E105"/>
      <selection pane="bottomLeft" activeCell="AX187" sqref="AX187"/>
    </sheetView>
  </sheetViews>
  <sheetFormatPr defaultRowHeight="14.15" x14ac:dyDescent="0.4"/>
  <cols>
    <col min="1" max="5" width="6.3046875" style="1" hidden="1" customWidth="1"/>
    <col min="6" max="6" width="6.3046875" style="1" customWidth="1"/>
    <col min="7" max="7" width="16.765625" style="1" customWidth="1"/>
    <col min="8" max="8" width="7.3828125" style="1" customWidth="1"/>
    <col min="9" max="9" width="7.53515625" style="1" customWidth="1"/>
    <col min="10" max="12" width="6.3046875" style="1" customWidth="1"/>
    <col min="13" max="13" width="7.3046875" style="1" customWidth="1"/>
    <col min="14" max="14" width="6.3046875" style="1" customWidth="1"/>
    <col min="15" max="16" width="6.3046875" style="3" customWidth="1"/>
    <col min="17" max="19" width="6.3046875" style="1" customWidth="1"/>
    <col min="20" max="20" width="7.3046875" style="1" customWidth="1"/>
    <col min="21" max="21" width="6.3046875" style="3" customWidth="1"/>
    <col min="22" max="22" width="6.3046875" style="1" customWidth="1"/>
    <col min="23" max="23" width="6.3046875" style="3" customWidth="1"/>
    <col min="24" max="24" width="7.53515625" style="1" customWidth="1"/>
    <col min="25" max="27" width="6.3046875" style="1" customWidth="1"/>
    <col min="28" max="28" width="6.3046875" style="3" customWidth="1"/>
    <col min="29" max="29" width="6.3046875" style="1" customWidth="1"/>
    <col min="30" max="30" width="6.3046875" style="3" customWidth="1"/>
    <col min="31" max="31" width="6.3046875" style="1" customWidth="1"/>
    <col min="32" max="32" width="6.3046875" style="3" customWidth="1"/>
    <col min="33" max="33" width="6.3046875" style="1" customWidth="1"/>
    <col min="34" max="34" width="6.3046875" style="3" customWidth="1"/>
    <col min="35" max="35" width="6.3046875" style="1" customWidth="1"/>
    <col min="36" max="36" width="6.3046875" style="3" customWidth="1"/>
    <col min="37" max="37" width="6.3046875" style="1" customWidth="1"/>
    <col min="38" max="40" width="6.3046875" style="3" customWidth="1"/>
    <col min="41" max="41" width="6.3046875" style="1" customWidth="1"/>
    <col min="42" max="42" width="6.3046875" style="3" customWidth="1"/>
    <col min="43" max="43" width="6.3046875" style="1" customWidth="1"/>
    <col min="44" max="44" width="6.3046875" style="3" customWidth="1"/>
    <col min="45" max="45" width="6.3046875" style="1" customWidth="1"/>
    <col min="46" max="46" width="6.3046875" style="3" customWidth="1"/>
    <col min="47" max="47" width="6.3046875" style="1" customWidth="1"/>
    <col min="48" max="48" width="6.3046875" style="75" customWidth="1"/>
    <col min="49" max="51" width="6.3046875" style="1" customWidth="1"/>
    <col min="52" max="16384" width="9.23046875" style="1"/>
  </cols>
  <sheetData>
    <row r="1" spans="1:52" x14ac:dyDescent="0.4">
      <c r="A1" s="1" t="s">
        <v>0</v>
      </c>
      <c r="B1" s="1" t="s">
        <v>1</v>
      </c>
      <c r="C1" s="1" t="s">
        <v>2</v>
      </c>
      <c r="D1" s="1" t="s">
        <v>3</v>
      </c>
      <c r="E1" s="1" t="s">
        <v>4</v>
      </c>
      <c r="F1" s="5" t="s">
        <v>98</v>
      </c>
      <c r="G1" s="5" t="s">
        <v>99</v>
      </c>
      <c r="H1" s="5" t="s">
        <v>316</v>
      </c>
      <c r="I1" s="1" t="s">
        <v>5</v>
      </c>
      <c r="J1" s="1" t="s">
        <v>101</v>
      </c>
      <c r="K1" s="1" t="s">
        <v>6</v>
      </c>
      <c r="L1" s="1" t="s">
        <v>7</v>
      </c>
      <c r="M1" s="1" t="s">
        <v>8</v>
      </c>
      <c r="N1" s="1" t="s">
        <v>9</v>
      </c>
      <c r="O1" s="3" t="s">
        <v>10</v>
      </c>
      <c r="P1" s="3" t="s">
        <v>93</v>
      </c>
      <c r="Q1" s="1" t="s">
        <v>12</v>
      </c>
      <c r="R1" s="1" t="s">
        <v>13</v>
      </c>
      <c r="S1" s="1" t="s">
        <v>14</v>
      </c>
      <c r="T1" s="1" t="s">
        <v>15</v>
      </c>
      <c r="U1" s="7" t="s">
        <v>11</v>
      </c>
      <c r="V1" s="1" t="s">
        <v>16</v>
      </c>
      <c r="W1" s="7" t="s">
        <v>94</v>
      </c>
      <c r="X1" s="1" t="s">
        <v>17</v>
      </c>
      <c r="Y1" s="1" t="s">
        <v>18</v>
      </c>
      <c r="Z1" s="1" t="s">
        <v>19</v>
      </c>
      <c r="AA1" s="1" t="s">
        <v>75</v>
      </c>
      <c r="AB1" s="3" t="s">
        <v>76</v>
      </c>
      <c r="AC1" s="1" t="s">
        <v>77</v>
      </c>
      <c r="AD1" s="3" t="s">
        <v>78</v>
      </c>
      <c r="AE1" s="1" t="s">
        <v>79</v>
      </c>
      <c r="AF1" s="3" t="s">
        <v>80</v>
      </c>
      <c r="AG1" s="1" t="s">
        <v>81</v>
      </c>
      <c r="AH1" s="3" t="s">
        <v>82</v>
      </c>
      <c r="AI1" s="1" t="s">
        <v>83</v>
      </c>
      <c r="AJ1" s="3" t="s">
        <v>84</v>
      </c>
      <c r="AK1" s="1" t="s">
        <v>85</v>
      </c>
      <c r="AL1" s="3" t="s">
        <v>86</v>
      </c>
      <c r="AM1" t="s">
        <v>103</v>
      </c>
      <c r="AN1" s="3" t="s">
        <v>104</v>
      </c>
      <c r="AO1" s="1" t="s">
        <v>87</v>
      </c>
      <c r="AP1" s="3" t="s">
        <v>88</v>
      </c>
      <c r="AQ1" s="1" t="s">
        <v>89</v>
      </c>
      <c r="AR1" s="3" t="s">
        <v>90</v>
      </c>
      <c r="AS1" s="1" t="s">
        <v>91</v>
      </c>
      <c r="AT1" s="3" t="s">
        <v>92</v>
      </c>
      <c r="AU1" s="1" t="s">
        <v>48</v>
      </c>
      <c r="AV1" s="75" t="s">
        <v>454</v>
      </c>
      <c r="AW1" s="12" t="s">
        <v>96</v>
      </c>
      <c r="AX1" s="11" t="s">
        <v>115</v>
      </c>
      <c r="AY1" s="11" t="s">
        <v>116</v>
      </c>
      <c r="AZ1" s="11" t="s">
        <v>117</v>
      </c>
    </row>
    <row r="2" spans="1:52" x14ac:dyDescent="0.4">
      <c r="A2" t="s">
        <v>49</v>
      </c>
      <c r="B2" t="s">
        <v>50</v>
      </c>
      <c r="C2" t="s">
        <v>51</v>
      </c>
      <c r="D2" t="s">
        <v>128</v>
      </c>
      <c r="E2" t="s">
        <v>129</v>
      </c>
      <c r="F2" s="2">
        <f ca="1">SUMPRODUCT(MID(0&amp;E2, LARGE(INDEX(ISNUMBER(--MID(E2, ROW(INDIRECT("1:"&amp;LEN(E2))), 1)) * ROW(INDIRECT("1:"&amp;LEN(E2))), 0), ROW(INDIRECT("1:"&amp;LEN(E2))))+1, 1) * 10^ROW(INDIRECT("1:"&amp;LEN(E2)))/10)</f>
        <v>212</v>
      </c>
      <c r="G2" s="2" t="str">
        <f>Дума_партии[[#This Row],[Местоположение]]</f>
        <v>Власиха</v>
      </c>
      <c r="H2" t="str">
        <f>LEFT(Дума_одномандатный[[#This Row],[tik]],4)&amp;"."&amp;IF(ISNUMBER(VALUE(RIGHT(Дума_одномандатный[[#This Row],[tik]]))),RIGHT(Дума_одномандатный[[#This Row],[tik]]),"")</f>
        <v>Влас.</v>
      </c>
      <c r="I2">
        <v>2451</v>
      </c>
      <c r="J2" s="1">
        <f>Дума_одномандатный[[#This Row],[Число избирателей, внесенных в список избирателей на момент окончания голосования]]</f>
        <v>2451</v>
      </c>
      <c r="K2">
        <v>2500</v>
      </c>
      <c r="L2">
        <v>0</v>
      </c>
      <c r="M2">
        <v>1537</v>
      </c>
      <c r="N2">
        <v>19</v>
      </c>
      <c r="O2" s="3">
        <f t="shared" ref="O2" si="0">100*(M2+N2)/I2</f>
        <v>63.484292125662996</v>
      </c>
      <c r="P2" s="3">
        <f t="shared" ref="P2" si="1">100*N2/I2</f>
        <v>0.77519379844961245</v>
      </c>
      <c r="Q2">
        <v>944</v>
      </c>
      <c r="R2">
        <v>19</v>
      </c>
      <c r="S2">
        <v>1537</v>
      </c>
      <c r="T2" s="1">
        <f>R2+S2</f>
        <v>1556</v>
      </c>
      <c r="U2" s="3">
        <f>100*R2/T2</f>
        <v>1.2210796915167095</v>
      </c>
      <c r="V2">
        <v>42</v>
      </c>
      <c r="W2" s="3">
        <f>100*V2/T2</f>
        <v>2.6992287917737787</v>
      </c>
      <c r="X2">
        <v>1514</v>
      </c>
      <c r="Y2">
        <v>0</v>
      </c>
      <c r="Z2">
        <v>0</v>
      </c>
      <c r="AA2">
        <v>30</v>
      </c>
      <c r="AB2" s="3">
        <f>100*AA2/$T2</f>
        <v>1.9280205655526992</v>
      </c>
      <c r="AC2">
        <v>86</v>
      </c>
      <c r="AD2" s="3">
        <f>100*AC2/$T2</f>
        <v>5.5269922879177376</v>
      </c>
      <c r="AE2">
        <v>96</v>
      </c>
      <c r="AF2" s="3">
        <f>100*AE2/$T2</f>
        <v>6.1696658097686372</v>
      </c>
      <c r="AG2">
        <v>710</v>
      </c>
      <c r="AH2" s="3">
        <f>100*AG2/$T2</f>
        <v>45.62982005141388</v>
      </c>
      <c r="AI2">
        <v>74</v>
      </c>
      <c r="AJ2" s="3">
        <f>100*AI2/$T2</f>
        <v>4.7557840616966578</v>
      </c>
      <c r="AK2">
        <v>83</v>
      </c>
      <c r="AL2" s="3">
        <f>100*AK2/$T2</f>
        <v>5.3341902313624683</v>
      </c>
      <c r="AM2">
        <v>36</v>
      </c>
      <c r="AN2" s="3">
        <f>100*AM2/$T2</f>
        <v>2.3136246786632393</v>
      </c>
      <c r="AO2">
        <v>301</v>
      </c>
      <c r="AP2" s="3">
        <f>100*AO2/$T2</f>
        <v>19.344473007712082</v>
      </c>
      <c r="AQ2">
        <v>59</v>
      </c>
      <c r="AR2" s="3">
        <f>100*AQ2/$T2</f>
        <v>3.7917737789203083</v>
      </c>
      <c r="AS2">
        <v>39</v>
      </c>
      <c r="AT2" s="3">
        <f>100*AS2/$T2</f>
        <v>2.506426735218509</v>
      </c>
      <c r="AU2" t="s">
        <v>313</v>
      </c>
      <c r="AV2" s="72" t="str">
        <f>Дума_партии[[#This Row],[КОИБ]]</f>
        <v>N</v>
      </c>
      <c r="AW2" s="1" t="str">
        <f>IF(Дума_партии[[#This Row],[Наблюдателей]]=0,"",Дума_партии[[#This Row],[Наблюдателей]])</f>
        <v/>
      </c>
      <c r="AX2"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400.42659279778388</v>
      </c>
      <c r="AY2" s="10">
        <f>2*(Дума_одномандатный[[#This Row],[Майданов Денис Васильевич]]-(AC$203/100)*Дума_одномандатный[[#This Row],[Число действительных избирательных бюллетеней]])</f>
        <v>578.21599999999989</v>
      </c>
      <c r="AZ2" s="10">
        <f>(Дума_одномандатный[[#This Row],[Вброс]]+Дума_одномандатный[[#This Row],[Перекладывание]])/2</f>
        <v>489.32129639889189</v>
      </c>
    </row>
    <row r="3" spans="1:52" x14ac:dyDescent="0.4">
      <c r="A3" t="s">
        <v>49</v>
      </c>
      <c r="B3" t="s">
        <v>50</v>
      </c>
      <c r="C3" t="s">
        <v>51</v>
      </c>
      <c r="D3" t="s">
        <v>128</v>
      </c>
      <c r="E3" t="s">
        <v>130</v>
      </c>
      <c r="F3" s="1">
        <f t="shared" ref="F3:F34" ca="1" si="2">SUMPRODUCT(MID(0&amp;E3, LARGE(INDEX(ISNUMBER(--MID(E3, ROW(INDIRECT("1:"&amp;LEN(E3))), 1)) * ROW(INDIRECT("1:"&amp;LEN(E3))), 0), ROW(INDIRECT("1:"&amp;LEN(E3))))+1, 1) * 10^ROW(INDIRECT("1:"&amp;LEN(E3)))/10)</f>
        <v>213</v>
      </c>
      <c r="G3" s="8" t="str">
        <f>Дума_партии[[#This Row],[Местоположение]]</f>
        <v>Власиха</v>
      </c>
      <c r="H3" s="2" t="str">
        <f>LEFT(Дума_одномандатный[[#This Row],[tik]],4)&amp;"."&amp;IF(ISNUMBER(VALUE(RIGHT(Дума_одномандатный[[#This Row],[tik]]))),RIGHT(Дума_одномандатный[[#This Row],[tik]]),"")</f>
        <v>Влас.</v>
      </c>
      <c r="I3">
        <v>1779</v>
      </c>
      <c r="J3" s="8">
        <f>Дума_одномандатный[[#This Row],[Число избирателей, внесенных в список избирателей на момент окончания голосования]]</f>
        <v>1779</v>
      </c>
      <c r="K3">
        <v>1700</v>
      </c>
      <c r="L3">
        <v>0</v>
      </c>
      <c r="M3">
        <v>905</v>
      </c>
      <c r="N3">
        <v>59</v>
      </c>
      <c r="O3" s="3">
        <f t="shared" ref="O3:O34" si="3">100*(M3+N3)/I3</f>
        <v>54.187745924676783</v>
      </c>
      <c r="P3" s="3">
        <f t="shared" ref="P3:P34" si="4">100*N3/I3</f>
        <v>3.3164699269252389</v>
      </c>
      <c r="Q3">
        <v>736</v>
      </c>
      <c r="R3">
        <v>59</v>
      </c>
      <c r="S3">
        <v>902</v>
      </c>
      <c r="T3" s="1">
        <f t="shared" ref="T3:T34" si="5">R3+S3</f>
        <v>961</v>
      </c>
      <c r="U3" s="3">
        <f t="shared" ref="U3:U34" si="6">100*R3/T3</f>
        <v>6.1394380853277832</v>
      </c>
      <c r="V3">
        <v>23</v>
      </c>
      <c r="W3" s="3">
        <f t="shared" ref="W3:W34" si="7">100*V3/T3</f>
        <v>2.393340270551509</v>
      </c>
      <c r="X3">
        <v>938</v>
      </c>
      <c r="Y3">
        <v>0</v>
      </c>
      <c r="Z3">
        <v>0</v>
      </c>
      <c r="AA3">
        <v>16</v>
      </c>
      <c r="AB3" s="3">
        <f t="shared" ref="AB3:AB34" si="8">100*AA3/$T3</f>
        <v>1.6649323621227887</v>
      </c>
      <c r="AC3">
        <v>45</v>
      </c>
      <c r="AD3" s="3">
        <f t="shared" ref="AD3:AD34" si="9">100*AC3/$T3</f>
        <v>4.6826222684703431</v>
      </c>
      <c r="AE3">
        <v>57</v>
      </c>
      <c r="AF3" s="3">
        <f t="shared" ref="AF3:AF34" si="10">100*AE3/$T3</f>
        <v>5.9313215400624353</v>
      </c>
      <c r="AG3">
        <v>512</v>
      </c>
      <c r="AH3" s="3">
        <f t="shared" ref="AH3:AH34" si="11">100*AG3/$T3</f>
        <v>53.277835587929239</v>
      </c>
      <c r="AI3">
        <v>30</v>
      </c>
      <c r="AJ3" s="3">
        <f t="shared" ref="AJ3:AJ34" si="12">100*AI3/$T3</f>
        <v>3.121748178980229</v>
      </c>
      <c r="AK3">
        <v>42</v>
      </c>
      <c r="AL3" s="3">
        <f t="shared" ref="AL3:AL34" si="13">100*AK3/$T3</f>
        <v>4.3704474505723203</v>
      </c>
      <c r="AM3">
        <v>16</v>
      </c>
      <c r="AN3" s="3">
        <f t="shared" ref="AN3:AN34" si="14">100*AM3/$T3</f>
        <v>1.6649323621227887</v>
      </c>
      <c r="AO3">
        <v>182</v>
      </c>
      <c r="AP3" s="3">
        <f t="shared" ref="AP3:AP34" si="15">100*AO3/$T3</f>
        <v>18.93860561914672</v>
      </c>
      <c r="AQ3">
        <v>30</v>
      </c>
      <c r="AR3" s="3">
        <f t="shared" ref="AR3:AR34" si="16">100*AQ3/$T3</f>
        <v>3.121748178980229</v>
      </c>
      <c r="AS3">
        <v>8</v>
      </c>
      <c r="AT3" s="3">
        <f t="shared" ref="AT3:AT34" si="17">100*AS3/$T3</f>
        <v>0.83246618106139436</v>
      </c>
      <c r="AU3" t="s">
        <v>313</v>
      </c>
      <c r="AV3" s="72" t="str">
        <f>Дума_партии[[#This Row],[КОИБ]]</f>
        <v>N</v>
      </c>
      <c r="AW3" s="1" t="str">
        <f>IF(Дума_партии[[#This Row],[Наблюдателей]]=0,"",Дума_партии[[#This Row],[Наблюдателей]])</f>
        <v/>
      </c>
      <c r="AX3"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347.97229916897504</v>
      </c>
      <c r="AY3" s="10">
        <f>2*(Дума_одномандатный[[#This Row],[Майданов Денис Васильевич]]-(AC$203/100)*Дума_одномандатный[[#This Row],[Число действительных избирательных бюллетеней]])</f>
        <v>502.47199999999998</v>
      </c>
      <c r="AZ3" s="10">
        <f>(Дума_одномандатный[[#This Row],[Вброс]]+Дума_одномандатный[[#This Row],[Перекладывание]])/2</f>
        <v>425.22214958448751</v>
      </c>
    </row>
    <row r="4" spans="1:52" x14ac:dyDescent="0.4">
      <c r="A4" t="s">
        <v>49</v>
      </c>
      <c r="B4" t="s">
        <v>50</v>
      </c>
      <c r="C4" t="s">
        <v>51</v>
      </c>
      <c r="D4" t="s">
        <v>128</v>
      </c>
      <c r="E4" t="s">
        <v>131</v>
      </c>
      <c r="F4" s="1">
        <f t="shared" ca="1" si="2"/>
        <v>214</v>
      </c>
      <c r="G4" s="8" t="str">
        <f>Дума_партии[[#This Row],[Местоположение]]</f>
        <v>Власиха</v>
      </c>
      <c r="H4" s="2" t="str">
        <f>LEFT(Дума_одномандатный[[#This Row],[tik]],4)&amp;"."&amp;IF(ISNUMBER(VALUE(RIGHT(Дума_одномандатный[[#This Row],[tik]]))),RIGHT(Дума_одномандатный[[#This Row],[tik]]),"")</f>
        <v>Влас.</v>
      </c>
      <c r="I4">
        <v>1942</v>
      </c>
      <c r="J4" s="8">
        <f>Дума_одномандатный[[#This Row],[Число избирателей, внесенных в список избирателей на момент окончания голосования]]</f>
        <v>1942</v>
      </c>
      <c r="K4">
        <v>2000</v>
      </c>
      <c r="L4">
        <v>0</v>
      </c>
      <c r="M4">
        <v>1009</v>
      </c>
      <c r="N4">
        <v>75</v>
      </c>
      <c r="O4" s="3">
        <f t="shared" si="3"/>
        <v>55.818743563336767</v>
      </c>
      <c r="P4" s="3">
        <f t="shared" si="4"/>
        <v>3.8619979402677651</v>
      </c>
      <c r="Q4">
        <v>916</v>
      </c>
      <c r="R4">
        <v>75</v>
      </c>
      <c r="S4">
        <v>1007</v>
      </c>
      <c r="T4" s="1">
        <f t="shared" si="5"/>
        <v>1082</v>
      </c>
      <c r="U4" s="3">
        <f t="shared" si="6"/>
        <v>6.9316081330868764</v>
      </c>
      <c r="V4">
        <v>27</v>
      </c>
      <c r="W4" s="3">
        <f t="shared" si="7"/>
        <v>2.4953789279112755</v>
      </c>
      <c r="X4">
        <v>1055</v>
      </c>
      <c r="Y4">
        <v>0</v>
      </c>
      <c r="Z4">
        <v>0</v>
      </c>
      <c r="AA4">
        <v>15</v>
      </c>
      <c r="AB4" s="3">
        <f t="shared" si="8"/>
        <v>1.3863216266173752</v>
      </c>
      <c r="AC4">
        <v>18</v>
      </c>
      <c r="AD4" s="3">
        <f t="shared" si="9"/>
        <v>1.6635859519408502</v>
      </c>
      <c r="AE4">
        <v>28</v>
      </c>
      <c r="AF4" s="3">
        <f t="shared" si="10"/>
        <v>2.587800369685767</v>
      </c>
      <c r="AG4">
        <v>806</v>
      </c>
      <c r="AH4" s="3">
        <f t="shared" si="11"/>
        <v>74.491682070240302</v>
      </c>
      <c r="AI4">
        <v>25</v>
      </c>
      <c r="AJ4" s="3">
        <f t="shared" si="12"/>
        <v>2.310536044362292</v>
      </c>
      <c r="AK4">
        <v>16</v>
      </c>
      <c r="AL4" s="3">
        <f t="shared" si="13"/>
        <v>1.478743068391867</v>
      </c>
      <c r="AM4">
        <v>20</v>
      </c>
      <c r="AN4" s="3">
        <f t="shared" si="14"/>
        <v>1.8484288354898337</v>
      </c>
      <c r="AO4">
        <v>93</v>
      </c>
      <c r="AP4" s="3">
        <f t="shared" si="15"/>
        <v>8.5951940850277264</v>
      </c>
      <c r="AQ4">
        <v>20</v>
      </c>
      <c r="AR4" s="3">
        <f t="shared" si="16"/>
        <v>1.8484288354898337</v>
      </c>
      <c r="AS4">
        <v>14</v>
      </c>
      <c r="AT4" s="3">
        <f t="shared" si="17"/>
        <v>1.2939001848428835</v>
      </c>
      <c r="AU4" t="s">
        <v>313</v>
      </c>
      <c r="AV4" s="72" t="str">
        <f>Дума_партии[[#This Row],[КОИБ]]</f>
        <v>N</v>
      </c>
      <c r="AW4" s="1" t="str">
        <f>IF(Дума_партии[[#This Row],[Наблюдателей]]=0,"",Дума_партии[[#This Row],[Наблюдателей]])</f>
        <v/>
      </c>
      <c r="AX4"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710.1246537396122</v>
      </c>
      <c r="AY4" s="10">
        <f>2*(Дума_одномандатный[[#This Row],[Майданов Денис Васильевич]]-(AC$203/100)*Дума_одномандатный[[#This Row],[Число действительных избирательных бюллетеней]])</f>
        <v>1025.42</v>
      </c>
      <c r="AZ4" s="10">
        <f>(Дума_одномандатный[[#This Row],[Вброс]]+Дума_одномандатный[[#This Row],[Перекладывание]])/2</f>
        <v>867.77232686980619</v>
      </c>
    </row>
    <row r="5" spans="1:52" x14ac:dyDescent="0.4">
      <c r="A5" t="s">
        <v>49</v>
      </c>
      <c r="B5" t="s">
        <v>50</v>
      </c>
      <c r="C5" t="s">
        <v>51</v>
      </c>
      <c r="D5" t="s">
        <v>128</v>
      </c>
      <c r="E5" t="s">
        <v>132</v>
      </c>
      <c r="F5" s="1">
        <f t="shared" ca="1" si="2"/>
        <v>215</v>
      </c>
      <c r="G5" s="8" t="str">
        <f>Дума_партии[[#This Row],[Местоположение]]</f>
        <v>Власиха</v>
      </c>
      <c r="H5" s="2" t="str">
        <f>LEFT(Дума_одномандатный[[#This Row],[tik]],4)&amp;"."&amp;IF(ISNUMBER(VALUE(RIGHT(Дума_одномандатный[[#This Row],[tik]]))),RIGHT(Дума_одномандатный[[#This Row],[tik]]),"")</f>
        <v>Влас.</v>
      </c>
      <c r="I5">
        <v>2100</v>
      </c>
      <c r="J5" s="8">
        <f>Дума_одномандатный[[#This Row],[Число избирателей, внесенных в список избирателей на момент окончания голосования]]</f>
        <v>2100</v>
      </c>
      <c r="K5">
        <v>2100</v>
      </c>
      <c r="L5">
        <v>0</v>
      </c>
      <c r="M5">
        <v>1154</v>
      </c>
      <c r="N5">
        <v>22</v>
      </c>
      <c r="O5" s="3">
        <f t="shared" si="3"/>
        <v>56</v>
      </c>
      <c r="P5" s="3">
        <f t="shared" si="4"/>
        <v>1.0476190476190477</v>
      </c>
      <c r="Q5">
        <v>920</v>
      </c>
      <c r="R5">
        <v>22</v>
      </c>
      <c r="S5">
        <v>1150</v>
      </c>
      <c r="T5" s="1">
        <f t="shared" si="5"/>
        <v>1172</v>
      </c>
      <c r="U5" s="3">
        <f t="shared" si="6"/>
        <v>1.8771331058020477</v>
      </c>
      <c r="V5">
        <v>46</v>
      </c>
      <c r="W5" s="3">
        <f t="shared" si="7"/>
        <v>3.9249146757679183</v>
      </c>
      <c r="X5">
        <v>1126</v>
      </c>
      <c r="Y5">
        <v>4</v>
      </c>
      <c r="Z5">
        <v>0</v>
      </c>
      <c r="AA5">
        <v>23</v>
      </c>
      <c r="AB5" s="3">
        <f t="shared" si="8"/>
        <v>1.9624573378839592</v>
      </c>
      <c r="AC5">
        <v>17</v>
      </c>
      <c r="AD5" s="3">
        <f t="shared" si="9"/>
        <v>1.4505119453924915</v>
      </c>
      <c r="AE5">
        <v>17</v>
      </c>
      <c r="AF5" s="3">
        <f t="shared" si="10"/>
        <v>1.4505119453924915</v>
      </c>
      <c r="AG5">
        <v>654</v>
      </c>
      <c r="AH5" s="3">
        <f t="shared" si="11"/>
        <v>55.802047781569968</v>
      </c>
      <c r="AI5">
        <v>40</v>
      </c>
      <c r="AJ5" s="3">
        <f t="shared" si="12"/>
        <v>3.4129692832764507</v>
      </c>
      <c r="AK5">
        <v>44</v>
      </c>
      <c r="AL5" s="3">
        <f t="shared" si="13"/>
        <v>3.7542662116040955</v>
      </c>
      <c r="AM5">
        <v>33</v>
      </c>
      <c r="AN5" s="3">
        <f t="shared" si="14"/>
        <v>2.8156996587030716</v>
      </c>
      <c r="AO5">
        <v>240</v>
      </c>
      <c r="AP5" s="3">
        <f t="shared" si="15"/>
        <v>20.477815699658702</v>
      </c>
      <c r="AQ5">
        <v>40</v>
      </c>
      <c r="AR5" s="3">
        <f t="shared" si="16"/>
        <v>3.4129692832764507</v>
      </c>
      <c r="AS5">
        <v>18</v>
      </c>
      <c r="AT5" s="3">
        <f t="shared" si="17"/>
        <v>1.5358361774744027</v>
      </c>
      <c r="AU5" t="s">
        <v>313</v>
      </c>
      <c r="AV5" s="72" t="str">
        <f>Дума_партии[[#This Row],[КОИБ]]</f>
        <v>N</v>
      </c>
      <c r="AW5" s="1" t="str">
        <f>IF(Дума_партии[[#This Row],[Наблюдателей]]=0,"",Дума_партии[[#This Row],[Наблюдателей]])</f>
        <v/>
      </c>
      <c r="AX5"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472.26038781163436</v>
      </c>
      <c r="AY5" s="10">
        <f>2*(Дума_одномандатный[[#This Row],[Майданов Денис Васильевич]]-(AC$203/100)*Дума_одномандатный[[#This Row],[Число действительных избирательных бюллетеней]])</f>
        <v>681.94399999999996</v>
      </c>
      <c r="AZ5" s="10">
        <f>(Дума_одномандатный[[#This Row],[Вброс]]+Дума_одномандатный[[#This Row],[Перекладывание]])/2</f>
        <v>577.1021939058171</v>
      </c>
    </row>
    <row r="6" spans="1:52" x14ac:dyDescent="0.4">
      <c r="A6" t="s">
        <v>49</v>
      </c>
      <c r="B6" t="s">
        <v>50</v>
      </c>
      <c r="C6" t="s">
        <v>51</v>
      </c>
      <c r="D6" t="s">
        <v>128</v>
      </c>
      <c r="E6" t="s">
        <v>133</v>
      </c>
      <c r="F6" s="1">
        <f t="shared" ca="1" si="2"/>
        <v>216</v>
      </c>
      <c r="G6" s="8" t="str">
        <f>Дума_партии[[#This Row],[Местоположение]]</f>
        <v>Власиха</v>
      </c>
      <c r="H6" s="2" t="str">
        <f>LEFT(Дума_одномандатный[[#This Row],[tik]],4)&amp;"."&amp;IF(ISNUMBER(VALUE(RIGHT(Дума_одномандатный[[#This Row],[tik]]))),RIGHT(Дума_одномандатный[[#This Row],[tik]]),"")</f>
        <v>Влас.</v>
      </c>
      <c r="I6">
        <v>1863</v>
      </c>
      <c r="J6" s="8">
        <f>Дума_одномандатный[[#This Row],[Число избирателей, внесенных в список избирателей на момент окончания голосования]]</f>
        <v>1863</v>
      </c>
      <c r="K6">
        <v>1900</v>
      </c>
      <c r="L6">
        <v>0</v>
      </c>
      <c r="M6">
        <v>832</v>
      </c>
      <c r="N6">
        <v>96</v>
      </c>
      <c r="O6" s="3">
        <f t="shared" si="3"/>
        <v>49.812130971551262</v>
      </c>
      <c r="P6" s="3">
        <f t="shared" si="4"/>
        <v>5.1529790660225441</v>
      </c>
      <c r="Q6">
        <v>972</v>
      </c>
      <c r="R6">
        <v>96</v>
      </c>
      <c r="S6">
        <v>829</v>
      </c>
      <c r="T6" s="1">
        <f t="shared" si="5"/>
        <v>925</v>
      </c>
      <c r="U6" s="3">
        <f t="shared" si="6"/>
        <v>10.378378378378379</v>
      </c>
      <c r="V6">
        <v>37</v>
      </c>
      <c r="W6" s="3">
        <f t="shared" si="7"/>
        <v>4</v>
      </c>
      <c r="X6">
        <v>888</v>
      </c>
      <c r="Y6">
        <v>0</v>
      </c>
      <c r="Z6">
        <v>0</v>
      </c>
      <c r="AA6">
        <v>27</v>
      </c>
      <c r="AB6" s="3">
        <f t="shared" si="8"/>
        <v>2.9189189189189189</v>
      </c>
      <c r="AC6">
        <v>65</v>
      </c>
      <c r="AD6" s="3">
        <f t="shared" si="9"/>
        <v>7.0270270270270272</v>
      </c>
      <c r="AE6">
        <v>81</v>
      </c>
      <c r="AF6" s="3">
        <f t="shared" si="10"/>
        <v>8.7567567567567561</v>
      </c>
      <c r="AG6">
        <v>346</v>
      </c>
      <c r="AH6" s="3">
        <f t="shared" si="11"/>
        <v>37.405405405405403</v>
      </c>
      <c r="AI6">
        <v>44</v>
      </c>
      <c r="AJ6" s="3">
        <f t="shared" si="12"/>
        <v>4.756756756756757</v>
      </c>
      <c r="AK6">
        <v>39</v>
      </c>
      <c r="AL6" s="3">
        <f t="shared" si="13"/>
        <v>4.2162162162162158</v>
      </c>
      <c r="AM6">
        <v>20</v>
      </c>
      <c r="AN6" s="3">
        <f t="shared" si="14"/>
        <v>2.1621621621621623</v>
      </c>
      <c r="AO6">
        <v>208</v>
      </c>
      <c r="AP6" s="3">
        <f t="shared" si="15"/>
        <v>22.486486486486488</v>
      </c>
      <c r="AQ6">
        <v>40</v>
      </c>
      <c r="AR6" s="3">
        <f t="shared" si="16"/>
        <v>4.3243243243243246</v>
      </c>
      <c r="AS6">
        <v>18</v>
      </c>
      <c r="AT6" s="3">
        <f t="shared" si="17"/>
        <v>1.9459459459459461</v>
      </c>
      <c r="AU6" t="s">
        <v>313</v>
      </c>
      <c r="AV6" s="72" t="str">
        <f>Дума_партии[[#This Row],[КОИБ]]</f>
        <v>N</v>
      </c>
      <c r="AW6" s="1" t="str">
        <f>IF(Дума_партии[[#This Row],[Наблюдателей]]=0,"",Дума_партии[[#This Row],[Наблюдателей]])</f>
        <v/>
      </c>
      <c r="AX6"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137.30747922437672</v>
      </c>
      <c r="AY6" s="10">
        <f>2*(Дума_одномандатный[[#This Row],[Майданов Денис Васильевич]]-(AC$203/100)*Дума_одномандатный[[#This Row],[Число действительных избирательных бюллетеней]])</f>
        <v>198.27199999999993</v>
      </c>
      <c r="AZ6" s="10">
        <f>(Дума_одномандатный[[#This Row],[Вброс]]+Дума_одномандатный[[#This Row],[Перекладывание]])/2</f>
        <v>167.78973961218833</v>
      </c>
    </row>
    <row r="7" spans="1:52" x14ac:dyDescent="0.4">
      <c r="A7" t="s">
        <v>49</v>
      </c>
      <c r="B7" t="s">
        <v>50</v>
      </c>
      <c r="C7" t="s">
        <v>51</v>
      </c>
      <c r="D7" t="s">
        <v>128</v>
      </c>
      <c r="E7" t="s">
        <v>134</v>
      </c>
      <c r="F7" s="1">
        <f t="shared" ca="1" si="2"/>
        <v>217</v>
      </c>
      <c r="G7" s="8" t="str">
        <f>Дума_партии[[#This Row],[Местоположение]]</f>
        <v>Власиха</v>
      </c>
      <c r="H7" s="2" t="str">
        <f>LEFT(Дума_одномандатный[[#This Row],[tik]],4)&amp;"."&amp;IF(ISNUMBER(VALUE(RIGHT(Дума_одномандатный[[#This Row],[tik]]))),RIGHT(Дума_одномандатный[[#This Row],[tik]]),"")</f>
        <v>Влас.</v>
      </c>
      <c r="I7">
        <v>1954</v>
      </c>
      <c r="J7" s="8">
        <f>Дума_одномандатный[[#This Row],[Число избирателей, внесенных в список избирателей на момент окончания голосования]]</f>
        <v>1954</v>
      </c>
      <c r="K7">
        <v>1900</v>
      </c>
      <c r="L7">
        <v>0</v>
      </c>
      <c r="M7">
        <v>902</v>
      </c>
      <c r="N7">
        <v>103</v>
      </c>
      <c r="O7" s="3">
        <f t="shared" si="3"/>
        <v>51.432958034800407</v>
      </c>
      <c r="P7" s="3">
        <f t="shared" si="4"/>
        <v>5.2712384851586487</v>
      </c>
      <c r="Q7">
        <v>895</v>
      </c>
      <c r="R7">
        <v>103</v>
      </c>
      <c r="S7">
        <v>893</v>
      </c>
      <c r="T7" s="1">
        <f t="shared" si="5"/>
        <v>996</v>
      </c>
      <c r="U7" s="3">
        <f t="shared" si="6"/>
        <v>10.34136546184739</v>
      </c>
      <c r="V7">
        <v>18</v>
      </c>
      <c r="W7" s="3">
        <f t="shared" si="7"/>
        <v>1.8072289156626506</v>
      </c>
      <c r="X7">
        <v>978</v>
      </c>
      <c r="Y7">
        <v>0</v>
      </c>
      <c r="Z7">
        <v>0</v>
      </c>
      <c r="AA7">
        <v>18</v>
      </c>
      <c r="AB7" s="3">
        <f t="shared" si="8"/>
        <v>1.8072289156626506</v>
      </c>
      <c r="AC7">
        <v>33</v>
      </c>
      <c r="AD7" s="3">
        <f t="shared" si="9"/>
        <v>3.3132530120481927</v>
      </c>
      <c r="AE7">
        <v>43</v>
      </c>
      <c r="AF7" s="3">
        <f t="shared" si="10"/>
        <v>4.3172690763052213</v>
      </c>
      <c r="AG7">
        <v>481</v>
      </c>
      <c r="AH7" s="3">
        <f t="shared" si="11"/>
        <v>48.293172690763051</v>
      </c>
      <c r="AI7">
        <v>55</v>
      </c>
      <c r="AJ7" s="3">
        <f t="shared" si="12"/>
        <v>5.5220883534136549</v>
      </c>
      <c r="AK7">
        <v>60</v>
      </c>
      <c r="AL7" s="3">
        <f t="shared" si="13"/>
        <v>6.024096385542169</v>
      </c>
      <c r="AM7">
        <v>13</v>
      </c>
      <c r="AN7" s="3">
        <f t="shared" si="14"/>
        <v>1.3052208835341366</v>
      </c>
      <c r="AO7">
        <v>210</v>
      </c>
      <c r="AP7" s="3">
        <f t="shared" si="15"/>
        <v>21.08433734939759</v>
      </c>
      <c r="AQ7">
        <v>34</v>
      </c>
      <c r="AR7" s="3">
        <f t="shared" si="16"/>
        <v>3.4136546184738954</v>
      </c>
      <c r="AS7">
        <v>31</v>
      </c>
      <c r="AT7" s="3">
        <f t="shared" si="17"/>
        <v>3.1124497991967872</v>
      </c>
      <c r="AU7" t="s">
        <v>313</v>
      </c>
      <c r="AV7" s="72" t="str">
        <f>Дума_партии[[#This Row],[КОИБ]]</f>
        <v>N</v>
      </c>
      <c r="AW7" s="1" t="str">
        <f>IF(Дума_партии[[#This Row],[Наблюдателей]]=0,"",Дума_партии[[#This Row],[Наблюдателей]])</f>
        <v/>
      </c>
      <c r="AX7"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289.6343490304709</v>
      </c>
      <c r="AY7" s="10">
        <f>2*(Дума_одномандатный[[#This Row],[Майданов Денис Васильевич]]-(AC$203/100)*Дума_одномандатный[[#This Row],[Число действительных избирательных бюллетеней]])</f>
        <v>418.23199999999997</v>
      </c>
      <c r="AZ7" s="10">
        <f>(Дума_одномандатный[[#This Row],[Вброс]]+Дума_одномандатный[[#This Row],[Перекладывание]])/2</f>
        <v>353.93317451523546</v>
      </c>
    </row>
    <row r="8" spans="1:52" x14ac:dyDescent="0.4">
      <c r="A8" t="s">
        <v>49</v>
      </c>
      <c r="B8" t="s">
        <v>50</v>
      </c>
      <c r="C8" t="s">
        <v>51</v>
      </c>
      <c r="D8" t="s">
        <v>128</v>
      </c>
      <c r="E8" t="s">
        <v>135</v>
      </c>
      <c r="F8" s="1">
        <f t="shared" ca="1" si="2"/>
        <v>218</v>
      </c>
      <c r="G8" s="8" t="str">
        <f>Дума_партии[[#This Row],[Местоположение]]</f>
        <v>Власиха</v>
      </c>
      <c r="H8" s="2" t="str">
        <f>LEFT(Дума_одномандатный[[#This Row],[tik]],4)&amp;"."&amp;IF(ISNUMBER(VALUE(RIGHT(Дума_одномандатный[[#This Row],[tik]]))),RIGHT(Дума_одномандатный[[#This Row],[tik]]),"")</f>
        <v>Влас.</v>
      </c>
      <c r="I8">
        <v>1973</v>
      </c>
      <c r="J8" s="8">
        <f>Дума_одномандатный[[#This Row],[Число избирателей, внесенных в список избирателей на момент окончания голосования]]</f>
        <v>1973</v>
      </c>
      <c r="K8">
        <v>1900</v>
      </c>
      <c r="L8">
        <v>0</v>
      </c>
      <c r="M8">
        <v>965</v>
      </c>
      <c r="N8">
        <v>143</v>
      </c>
      <c r="O8" s="3">
        <f t="shared" si="3"/>
        <v>56.158134820070956</v>
      </c>
      <c r="P8" s="3">
        <f t="shared" si="4"/>
        <v>7.2478459199189054</v>
      </c>
      <c r="Q8">
        <v>792</v>
      </c>
      <c r="R8">
        <v>143</v>
      </c>
      <c r="S8">
        <v>965</v>
      </c>
      <c r="T8" s="1">
        <f t="shared" si="5"/>
        <v>1108</v>
      </c>
      <c r="U8" s="3">
        <f t="shared" si="6"/>
        <v>12.906137184115524</v>
      </c>
      <c r="V8">
        <v>38</v>
      </c>
      <c r="W8" s="3">
        <f t="shared" si="7"/>
        <v>3.4296028880866425</v>
      </c>
      <c r="X8">
        <v>1070</v>
      </c>
      <c r="Y8">
        <v>0</v>
      </c>
      <c r="Z8">
        <v>0</v>
      </c>
      <c r="AA8">
        <v>35</v>
      </c>
      <c r="AB8" s="3">
        <f t="shared" si="8"/>
        <v>3.1588447653429603</v>
      </c>
      <c r="AC8">
        <v>79</v>
      </c>
      <c r="AD8" s="3">
        <f t="shared" si="9"/>
        <v>7.1299638989169676</v>
      </c>
      <c r="AE8">
        <v>56</v>
      </c>
      <c r="AF8" s="3">
        <f t="shared" si="10"/>
        <v>5.0541516245487363</v>
      </c>
      <c r="AG8">
        <v>551</v>
      </c>
      <c r="AH8" s="3">
        <f t="shared" si="11"/>
        <v>49.729241877256321</v>
      </c>
      <c r="AI8">
        <v>76</v>
      </c>
      <c r="AJ8" s="3">
        <f t="shared" si="12"/>
        <v>6.859205776173285</v>
      </c>
      <c r="AK8">
        <v>54</v>
      </c>
      <c r="AL8" s="3">
        <f t="shared" si="13"/>
        <v>4.8736462093862816</v>
      </c>
      <c r="AM8">
        <v>30</v>
      </c>
      <c r="AN8" s="3">
        <f t="shared" si="14"/>
        <v>2.7075812274368229</v>
      </c>
      <c r="AO8">
        <v>130</v>
      </c>
      <c r="AP8" s="3">
        <f t="shared" si="15"/>
        <v>11.732851985559567</v>
      </c>
      <c r="AQ8">
        <v>21</v>
      </c>
      <c r="AR8" s="3">
        <f t="shared" si="16"/>
        <v>1.8953068592057762</v>
      </c>
      <c r="AS8">
        <v>38</v>
      </c>
      <c r="AT8" s="3">
        <f t="shared" si="17"/>
        <v>3.4296028880866425</v>
      </c>
      <c r="AU8" t="s">
        <v>313</v>
      </c>
      <c r="AV8" s="72" t="str">
        <f>Дума_партии[[#This Row],[КОИБ]]</f>
        <v>N</v>
      </c>
      <c r="AW8" s="1" t="str">
        <f>IF(Дума_партии[[#This Row],[Наблюдателей]]=0,"",Дума_партии[[#This Row],[Наблюдателей]])</f>
        <v/>
      </c>
      <c r="AX8"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351.16343490304706</v>
      </c>
      <c r="AY8" s="10">
        <f>2*(Дума_одномандатный[[#This Row],[Майданов Денис Васильевич]]-(AC$203/100)*Дума_одномандатный[[#This Row],[Число действительных избирательных бюллетеней]])</f>
        <v>507.07999999999993</v>
      </c>
      <c r="AZ8" s="10">
        <f>(Дума_одномандатный[[#This Row],[Вброс]]+Дума_одномандатный[[#This Row],[Перекладывание]])/2</f>
        <v>429.12171745152352</v>
      </c>
    </row>
    <row r="9" spans="1:52" x14ac:dyDescent="0.4">
      <c r="A9" t="s">
        <v>49</v>
      </c>
      <c r="B9" t="s">
        <v>50</v>
      </c>
      <c r="C9" t="s">
        <v>51</v>
      </c>
      <c r="D9" t="s">
        <v>128</v>
      </c>
      <c r="E9" t="s">
        <v>136</v>
      </c>
      <c r="F9" s="1">
        <f t="shared" ca="1" si="2"/>
        <v>219</v>
      </c>
      <c r="G9" s="8" t="str">
        <f>Дума_партии[[#This Row],[Местоположение]]</f>
        <v>Власиха</v>
      </c>
      <c r="H9" s="2" t="str">
        <f>LEFT(Дума_одномандатный[[#This Row],[tik]],4)&amp;"."&amp;IF(ISNUMBER(VALUE(RIGHT(Дума_одномандатный[[#This Row],[tik]]))),RIGHT(Дума_одномандатный[[#This Row],[tik]]),"")</f>
        <v>Влас.</v>
      </c>
      <c r="I9">
        <v>1804</v>
      </c>
      <c r="J9" s="8">
        <f>Дума_одномандатный[[#This Row],[Число избирателей, внесенных в список избирателей на момент окончания голосования]]</f>
        <v>1804</v>
      </c>
      <c r="K9">
        <v>1700</v>
      </c>
      <c r="L9">
        <v>0</v>
      </c>
      <c r="M9">
        <v>1236</v>
      </c>
      <c r="N9">
        <v>53</v>
      </c>
      <c r="O9" s="3">
        <f t="shared" si="3"/>
        <v>71.452328159645234</v>
      </c>
      <c r="P9" s="3">
        <f t="shared" si="4"/>
        <v>2.9379157427937916</v>
      </c>
      <c r="Q9">
        <v>401</v>
      </c>
      <c r="R9">
        <v>53</v>
      </c>
      <c r="S9">
        <v>1226</v>
      </c>
      <c r="T9" s="1">
        <f t="shared" si="5"/>
        <v>1279</v>
      </c>
      <c r="U9" s="3">
        <f t="shared" si="6"/>
        <v>4.1438623924941362</v>
      </c>
      <c r="V9">
        <v>19</v>
      </c>
      <c r="W9" s="3">
        <f t="shared" si="7"/>
        <v>1.4855355746677092</v>
      </c>
      <c r="X9">
        <v>1260</v>
      </c>
      <c r="Y9">
        <v>10</v>
      </c>
      <c r="Z9">
        <v>0</v>
      </c>
      <c r="AA9">
        <v>22</v>
      </c>
      <c r="AB9" s="3">
        <f t="shared" si="8"/>
        <v>1.7200938232994527</v>
      </c>
      <c r="AC9">
        <v>39</v>
      </c>
      <c r="AD9" s="3">
        <f t="shared" si="9"/>
        <v>3.0492572322126663</v>
      </c>
      <c r="AE9">
        <v>66</v>
      </c>
      <c r="AF9" s="3">
        <f t="shared" si="10"/>
        <v>5.1602814698983579</v>
      </c>
      <c r="AG9">
        <v>787</v>
      </c>
      <c r="AH9" s="3">
        <f t="shared" si="11"/>
        <v>61.532447224394055</v>
      </c>
      <c r="AI9">
        <v>36</v>
      </c>
      <c r="AJ9" s="3">
        <f t="shared" si="12"/>
        <v>2.8146989835809224</v>
      </c>
      <c r="AK9">
        <v>47</v>
      </c>
      <c r="AL9" s="3">
        <f t="shared" si="13"/>
        <v>3.6747458952306489</v>
      </c>
      <c r="AM9">
        <v>14</v>
      </c>
      <c r="AN9" s="3">
        <f t="shared" si="14"/>
        <v>1.0946051602814699</v>
      </c>
      <c r="AO9">
        <v>201</v>
      </c>
      <c r="AP9" s="3">
        <f t="shared" si="15"/>
        <v>15.715402658326818</v>
      </c>
      <c r="AQ9">
        <v>30</v>
      </c>
      <c r="AR9" s="3">
        <f t="shared" si="16"/>
        <v>2.3455824863174355</v>
      </c>
      <c r="AS9">
        <v>18</v>
      </c>
      <c r="AT9" s="3">
        <f t="shared" si="17"/>
        <v>1.4073494917904612</v>
      </c>
      <c r="AU9" t="s">
        <v>313</v>
      </c>
      <c r="AV9" s="72" t="str">
        <f>Дума_партии[[#This Row],[КОИБ]]</f>
        <v>N</v>
      </c>
      <c r="AW9" s="1" t="str">
        <f>IF(Дума_партии[[#This Row],[Наблюдателей]]=0,"",Дума_партии[[#This Row],[Наблюдателей]])</f>
        <v/>
      </c>
      <c r="AX9"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604.8753462603878</v>
      </c>
      <c r="AY9" s="10">
        <f>2*(Дума_одномандатный[[#This Row],[Майданов Денис Васильевич]]-(AC$203/100)*Дума_одномандатный[[#This Row],[Число действительных избирательных бюллетеней]])</f>
        <v>873.43999999999994</v>
      </c>
      <c r="AZ9" s="10">
        <f>(Дума_одномандатный[[#This Row],[Вброс]]+Дума_одномандатный[[#This Row],[Перекладывание]])/2</f>
        <v>739.15767313019387</v>
      </c>
    </row>
    <row r="10" spans="1:52" x14ac:dyDescent="0.4">
      <c r="A10" t="s">
        <v>49</v>
      </c>
      <c r="B10" t="s">
        <v>50</v>
      </c>
      <c r="C10" t="s">
        <v>51</v>
      </c>
      <c r="D10" t="s">
        <v>128</v>
      </c>
      <c r="E10" t="s">
        <v>137</v>
      </c>
      <c r="F10" s="1">
        <f t="shared" ca="1" si="2"/>
        <v>220</v>
      </c>
      <c r="G10" s="8" t="str">
        <f>Дума_партии[[#This Row],[Местоположение]]</f>
        <v>Власиха</v>
      </c>
      <c r="H10" s="2" t="str">
        <f>LEFT(Дума_одномандатный[[#This Row],[tik]],4)&amp;"."&amp;IF(ISNUMBER(VALUE(RIGHT(Дума_одномандатный[[#This Row],[tik]]))),RIGHT(Дума_одномандатный[[#This Row],[tik]]),"")</f>
        <v>Влас.</v>
      </c>
      <c r="I10">
        <v>2012</v>
      </c>
      <c r="J10" s="8">
        <f>Дума_одномандатный[[#This Row],[Число избирателей, внесенных в список избирателей на момент окончания голосования]]</f>
        <v>2012</v>
      </c>
      <c r="K10">
        <v>2100</v>
      </c>
      <c r="L10">
        <v>0</v>
      </c>
      <c r="M10">
        <v>1344</v>
      </c>
      <c r="N10">
        <v>139</v>
      </c>
      <c r="O10" s="3">
        <f t="shared" si="3"/>
        <v>73.707753479125245</v>
      </c>
      <c r="P10" s="3">
        <f t="shared" si="4"/>
        <v>6.9085487077534795</v>
      </c>
      <c r="Q10">
        <v>617</v>
      </c>
      <c r="R10">
        <v>139</v>
      </c>
      <c r="S10">
        <v>1344</v>
      </c>
      <c r="T10" s="1">
        <f t="shared" si="5"/>
        <v>1483</v>
      </c>
      <c r="U10" s="3">
        <f t="shared" si="6"/>
        <v>9.3728927848954822</v>
      </c>
      <c r="V10">
        <v>32</v>
      </c>
      <c r="W10" s="3">
        <f t="shared" si="7"/>
        <v>2.157788267026298</v>
      </c>
      <c r="X10">
        <v>1451</v>
      </c>
      <c r="Y10">
        <v>0</v>
      </c>
      <c r="Z10">
        <v>0</v>
      </c>
      <c r="AA10">
        <v>22</v>
      </c>
      <c r="AB10" s="3">
        <f t="shared" si="8"/>
        <v>1.4834794335805799</v>
      </c>
      <c r="AC10">
        <v>49</v>
      </c>
      <c r="AD10" s="3">
        <f t="shared" si="9"/>
        <v>3.304113283884019</v>
      </c>
      <c r="AE10">
        <v>81</v>
      </c>
      <c r="AF10" s="3">
        <f t="shared" si="10"/>
        <v>5.4619015509103166</v>
      </c>
      <c r="AG10">
        <v>915</v>
      </c>
      <c r="AH10" s="3">
        <f t="shared" si="11"/>
        <v>61.699258260283209</v>
      </c>
      <c r="AI10">
        <v>49</v>
      </c>
      <c r="AJ10" s="3">
        <f t="shared" si="12"/>
        <v>3.304113283884019</v>
      </c>
      <c r="AK10">
        <v>59</v>
      </c>
      <c r="AL10" s="3">
        <f t="shared" si="13"/>
        <v>3.9784221173297372</v>
      </c>
      <c r="AM10">
        <v>14</v>
      </c>
      <c r="AN10" s="3">
        <f t="shared" si="14"/>
        <v>0.94403236682400538</v>
      </c>
      <c r="AO10">
        <v>208</v>
      </c>
      <c r="AP10" s="3">
        <f t="shared" si="15"/>
        <v>14.025623735670937</v>
      </c>
      <c r="AQ10">
        <v>33</v>
      </c>
      <c r="AR10" s="3">
        <f t="shared" si="16"/>
        <v>2.22521915037087</v>
      </c>
      <c r="AS10">
        <v>21</v>
      </c>
      <c r="AT10" s="3">
        <f t="shared" si="17"/>
        <v>1.4160485502360081</v>
      </c>
      <c r="AU10" t="s">
        <v>313</v>
      </c>
      <c r="AV10" s="72" t="str">
        <f>Дума_партии[[#This Row],[КОИБ]]</f>
        <v>N</v>
      </c>
      <c r="AW10" s="1" t="str">
        <f>IF(Дума_партии[[#This Row],[Наблюдателей]]=0,"",Дума_партии[[#This Row],[Наблюдателей]])</f>
        <v/>
      </c>
      <c r="AX10"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708.61772853185596</v>
      </c>
      <c r="AY10" s="10">
        <f>2*(Дума_одномандатный[[#This Row],[Майданов Денис Васильевич]]-(AC$203/100)*Дума_одномандатный[[#This Row],[Число действительных избирательных бюллетеней]])</f>
        <v>1023.2439999999999</v>
      </c>
      <c r="AZ10" s="10">
        <f>(Дума_одномандатный[[#This Row],[Вброс]]+Дума_одномандатный[[#This Row],[Перекладывание]])/2</f>
        <v>865.93086426592799</v>
      </c>
    </row>
    <row r="11" spans="1:52" x14ac:dyDescent="0.4">
      <c r="A11" t="s">
        <v>49</v>
      </c>
      <c r="B11" t="s">
        <v>50</v>
      </c>
      <c r="C11" t="s">
        <v>51</v>
      </c>
      <c r="D11" t="s">
        <v>138</v>
      </c>
      <c r="E11" t="s">
        <v>139</v>
      </c>
      <c r="F11" s="1">
        <f t="shared" ca="1" si="2"/>
        <v>693</v>
      </c>
      <c r="G11" s="8" t="str">
        <f>Дума_партии[[#This Row],[Местоположение]]</f>
        <v>Звенигород</v>
      </c>
      <c r="H11" s="2" t="str">
        <f>LEFT(Дума_одномандатный[[#This Row],[tik]],4)&amp;"."&amp;IF(ISNUMBER(VALUE(RIGHT(Дума_одномандатный[[#This Row],[tik]]))),RIGHT(Дума_одномандатный[[#This Row],[tik]]),"")</f>
        <v>Один.</v>
      </c>
      <c r="I11">
        <v>2353</v>
      </c>
      <c r="J11" s="8">
        <f>Дума_одномандатный[[#This Row],[Число избирателей, внесенных в список избирателей на момент окончания голосования]]</f>
        <v>2353</v>
      </c>
      <c r="K11">
        <v>2000</v>
      </c>
      <c r="L11">
        <v>0</v>
      </c>
      <c r="M11">
        <v>689</v>
      </c>
      <c r="N11">
        <v>182</v>
      </c>
      <c r="O11" s="3">
        <f t="shared" si="3"/>
        <v>37.016574585635361</v>
      </c>
      <c r="P11" s="3">
        <f t="shared" si="4"/>
        <v>7.7348066298342539</v>
      </c>
      <c r="Q11">
        <v>1129</v>
      </c>
      <c r="R11">
        <v>177</v>
      </c>
      <c r="S11">
        <v>689</v>
      </c>
      <c r="T11" s="1">
        <f t="shared" si="5"/>
        <v>866</v>
      </c>
      <c r="U11" s="3">
        <f t="shared" si="6"/>
        <v>20.438799076212472</v>
      </c>
      <c r="V11">
        <v>57</v>
      </c>
      <c r="W11" s="3">
        <f t="shared" si="7"/>
        <v>6.5819861431870672</v>
      </c>
      <c r="X11">
        <v>809</v>
      </c>
      <c r="Y11">
        <v>0</v>
      </c>
      <c r="Z11">
        <v>0</v>
      </c>
      <c r="AA11">
        <v>26</v>
      </c>
      <c r="AB11" s="3">
        <f t="shared" si="8"/>
        <v>3.0023094688221708</v>
      </c>
      <c r="AC11">
        <v>37</v>
      </c>
      <c r="AD11" s="3">
        <f t="shared" si="9"/>
        <v>4.2725173210161662</v>
      </c>
      <c r="AE11">
        <v>80</v>
      </c>
      <c r="AF11" s="3">
        <f t="shared" si="10"/>
        <v>9.2378752886836022</v>
      </c>
      <c r="AG11">
        <v>292</v>
      </c>
      <c r="AH11" s="3">
        <f t="shared" si="11"/>
        <v>33.71824480369515</v>
      </c>
      <c r="AI11">
        <v>49</v>
      </c>
      <c r="AJ11" s="3">
        <f t="shared" si="12"/>
        <v>5.6581986143187066</v>
      </c>
      <c r="AK11">
        <v>54</v>
      </c>
      <c r="AL11" s="3">
        <f t="shared" si="13"/>
        <v>6.2355658198614314</v>
      </c>
      <c r="AM11">
        <v>12</v>
      </c>
      <c r="AN11" s="3">
        <f t="shared" si="14"/>
        <v>1.3856812933025404</v>
      </c>
      <c r="AO11">
        <v>210</v>
      </c>
      <c r="AP11" s="3">
        <f t="shared" si="15"/>
        <v>24.249422632794456</v>
      </c>
      <c r="AQ11">
        <v>31</v>
      </c>
      <c r="AR11" s="3">
        <f t="shared" si="16"/>
        <v>3.579676674364896</v>
      </c>
      <c r="AS11">
        <v>18</v>
      </c>
      <c r="AT11" s="3">
        <f t="shared" si="17"/>
        <v>2.0785219399538106</v>
      </c>
      <c r="AU11" t="s">
        <v>314</v>
      </c>
      <c r="AV11" s="72">
        <f>Дума_партии[[#This Row],[КОИБ]]</f>
        <v>2017</v>
      </c>
      <c r="AW11" s="1" t="str">
        <f>IF(Дума_партии[[#This Row],[Наблюдателей]]=0,"",Дума_партии[[#This Row],[Наблюдателей]])</f>
        <v/>
      </c>
      <c r="AX11"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92.933518005540151</v>
      </c>
      <c r="AY11" s="10">
        <f>2*(Дума_одномандатный[[#This Row],[Майданов Денис Васильевич]]-(AC$203/100)*Дума_одномандатный[[#This Row],[Число действительных избирательных бюллетеней]])</f>
        <v>134.19599999999997</v>
      </c>
      <c r="AZ11" s="10">
        <f>(Дума_одномандатный[[#This Row],[Вброс]]+Дума_одномандатный[[#This Row],[Перекладывание]])/2</f>
        <v>113.56475900277006</v>
      </c>
    </row>
    <row r="12" spans="1:52" x14ac:dyDescent="0.4">
      <c r="A12" t="s">
        <v>49</v>
      </c>
      <c r="B12" t="s">
        <v>50</v>
      </c>
      <c r="C12" t="s">
        <v>51</v>
      </c>
      <c r="D12" t="s">
        <v>138</v>
      </c>
      <c r="E12" t="s">
        <v>140</v>
      </c>
      <c r="F12" s="1">
        <f t="shared" ca="1" si="2"/>
        <v>694</v>
      </c>
      <c r="G12" s="8" t="str">
        <f>Дума_партии[[#This Row],[Местоположение]]</f>
        <v>Звенигород</v>
      </c>
      <c r="H12" s="2" t="str">
        <f>LEFT(Дума_одномандатный[[#This Row],[tik]],4)&amp;"."&amp;IF(ISNUMBER(VALUE(RIGHT(Дума_одномандатный[[#This Row],[tik]]))),RIGHT(Дума_одномандатный[[#This Row],[tik]]),"")</f>
        <v>Один.</v>
      </c>
      <c r="I12">
        <v>2271</v>
      </c>
      <c r="J12" s="8">
        <f>Дума_одномандатный[[#This Row],[Число избирателей, внесенных в список избирателей на момент окончания голосования]]</f>
        <v>2271</v>
      </c>
      <c r="K12">
        <v>2000</v>
      </c>
      <c r="L12">
        <v>0</v>
      </c>
      <c r="M12">
        <v>566</v>
      </c>
      <c r="N12">
        <v>11</v>
      </c>
      <c r="O12" s="3">
        <f t="shared" si="3"/>
        <v>25.407309555262</v>
      </c>
      <c r="P12" s="3">
        <f t="shared" si="4"/>
        <v>0.48436811977102601</v>
      </c>
      <c r="Q12">
        <v>1423</v>
      </c>
      <c r="R12">
        <v>11</v>
      </c>
      <c r="S12">
        <v>566</v>
      </c>
      <c r="T12" s="1">
        <f t="shared" si="5"/>
        <v>577</v>
      </c>
      <c r="U12" s="3">
        <f t="shared" si="6"/>
        <v>1.9064124783362217</v>
      </c>
      <c r="V12">
        <v>40</v>
      </c>
      <c r="W12" s="3">
        <f t="shared" si="7"/>
        <v>6.9324090121317159</v>
      </c>
      <c r="X12">
        <v>537</v>
      </c>
      <c r="Y12">
        <v>0</v>
      </c>
      <c r="Z12">
        <v>0</v>
      </c>
      <c r="AA12">
        <v>17</v>
      </c>
      <c r="AB12" s="3">
        <f t="shared" si="8"/>
        <v>2.9462738301559792</v>
      </c>
      <c r="AC12">
        <v>17</v>
      </c>
      <c r="AD12" s="3">
        <f t="shared" si="9"/>
        <v>2.9462738301559792</v>
      </c>
      <c r="AE12">
        <v>42</v>
      </c>
      <c r="AF12" s="3">
        <f t="shared" si="10"/>
        <v>7.2790294627383014</v>
      </c>
      <c r="AG12">
        <v>127</v>
      </c>
      <c r="AH12" s="3">
        <f t="shared" si="11"/>
        <v>22.010398613518198</v>
      </c>
      <c r="AI12">
        <v>32</v>
      </c>
      <c r="AJ12" s="3">
        <f t="shared" si="12"/>
        <v>5.5459272097053729</v>
      </c>
      <c r="AK12">
        <v>35</v>
      </c>
      <c r="AL12" s="3">
        <f t="shared" si="13"/>
        <v>6.0658578856152516</v>
      </c>
      <c r="AM12">
        <v>9</v>
      </c>
      <c r="AN12" s="3">
        <f t="shared" si="14"/>
        <v>1.559792027729636</v>
      </c>
      <c r="AO12">
        <v>230</v>
      </c>
      <c r="AP12" s="3">
        <f t="shared" si="15"/>
        <v>39.861351819757367</v>
      </c>
      <c r="AQ12">
        <v>16</v>
      </c>
      <c r="AR12" s="3">
        <f t="shared" si="16"/>
        <v>2.7729636048526864</v>
      </c>
      <c r="AS12">
        <v>12</v>
      </c>
      <c r="AT12" s="3">
        <f t="shared" si="17"/>
        <v>2.0797227036395149</v>
      </c>
      <c r="AU12" t="s">
        <v>314</v>
      </c>
      <c r="AV12" s="72">
        <f>Дума_партии[[#This Row],[КОИБ]]</f>
        <v>2017</v>
      </c>
      <c r="AW12" s="1" t="str">
        <f>IF(Дума_партии[[#This Row],[Наблюдателей]]=0,"",Дума_партии[[#This Row],[Наблюдателей]])</f>
        <v/>
      </c>
      <c r="AX12"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-30.867036011080359</v>
      </c>
      <c r="AY12" s="10">
        <f>2*(Дума_одномандатный[[#This Row],[Майданов Денис Васильевич]]-(AC$203/100)*Дума_одномандатный[[#This Row],[Число действительных избирательных бюллетеней]])</f>
        <v>-44.572000000000003</v>
      </c>
      <c r="AZ12" s="10">
        <f>(Дума_одномандатный[[#This Row],[Вброс]]+Дума_одномандатный[[#This Row],[Перекладывание]])/2</f>
        <v>-37.719518005540181</v>
      </c>
    </row>
    <row r="13" spans="1:52" x14ac:dyDescent="0.4">
      <c r="A13" t="s">
        <v>49</v>
      </c>
      <c r="B13" t="s">
        <v>50</v>
      </c>
      <c r="C13" t="s">
        <v>51</v>
      </c>
      <c r="D13" t="s">
        <v>138</v>
      </c>
      <c r="E13" t="s">
        <v>141</v>
      </c>
      <c r="F13" s="1">
        <f t="shared" ca="1" si="2"/>
        <v>695</v>
      </c>
      <c r="G13" s="8" t="str">
        <f>Дума_партии[[#This Row],[Местоположение]]</f>
        <v>Звенигород</v>
      </c>
      <c r="H13" s="2" t="str">
        <f>LEFT(Дума_одномандатный[[#This Row],[tik]],4)&amp;"."&amp;IF(ISNUMBER(VALUE(RIGHT(Дума_одномандатный[[#This Row],[tik]]))),RIGHT(Дума_одномандатный[[#This Row],[tik]]),"")</f>
        <v>Один.</v>
      </c>
      <c r="I13">
        <v>882</v>
      </c>
      <c r="J13" s="8">
        <f>Дума_одномандатный[[#This Row],[Число избирателей, внесенных в список избирателей на момент окончания голосования]]</f>
        <v>882</v>
      </c>
      <c r="K13">
        <v>700</v>
      </c>
      <c r="L13">
        <v>0</v>
      </c>
      <c r="M13">
        <v>515</v>
      </c>
      <c r="N13">
        <v>125</v>
      </c>
      <c r="O13" s="3">
        <f t="shared" si="3"/>
        <v>72.562358276643991</v>
      </c>
      <c r="P13" s="3">
        <f t="shared" si="4"/>
        <v>14.172335600907029</v>
      </c>
      <c r="Q13">
        <v>60</v>
      </c>
      <c r="R13">
        <v>125</v>
      </c>
      <c r="S13">
        <v>515</v>
      </c>
      <c r="T13" s="1">
        <f t="shared" si="5"/>
        <v>640</v>
      </c>
      <c r="U13" s="3">
        <f t="shared" si="6"/>
        <v>19.53125</v>
      </c>
      <c r="V13">
        <v>14</v>
      </c>
      <c r="W13" s="3">
        <f t="shared" si="7"/>
        <v>2.1875</v>
      </c>
      <c r="X13">
        <v>626</v>
      </c>
      <c r="Y13">
        <v>0</v>
      </c>
      <c r="Z13">
        <v>0</v>
      </c>
      <c r="AA13">
        <v>9</v>
      </c>
      <c r="AB13" s="3">
        <f t="shared" si="8"/>
        <v>1.40625</v>
      </c>
      <c r="AC13">
        <v>15</v>
      </c>
      <c r="AD13" s="3">
        <f t="shared" si="9"/>
        <v>2.34375</v>
      </c>
      <c r="AE13">
        <v>21</v>
      </c>
      <c r="AF13" s="3">
        <f t="shared" si="10"/>
        <v>3.28125</v>
      </c>
      <c r="AG13">
        <v>439</v>
      </c>
      <c r="AH13" s="3">
        <f t="shared" si="11"/>
        <v>68.59375</v>
      </c>
      <c r="AI13">
        <v>21</v>
      </c>
      <c r="AJ13" s="3">
        <f t="shared" si="12"/>
        <v>3.28125</v>
      </c>
      <c r="AK13">
        <v>30</v>
      </c>
      <c r="AL13" s="3">
        <f t="shared" si="13"/>
        <v>4.6875</v>
      </c>
      <c r="AM13">
        <v>6</v>
      </c>
      <c r="AN13" s="3">
        <f t="shared" si="14"/>
        <v>0.9375</v>
      </c>
      <c r="AO13">
        <v>70</v>
      </c>
      <c r="AP13" s="3">
        <f t="shared" si="15"/>
        <v>10.9375</v>
      </c>
      <c r="AQ13">
        <v>15</v>
      </c>
      <c r="AR13" s="3">
        <f t="shared" si="16"/>
        <v>2.34375</v>
      </c>
      <c r="AS13">
        <v>0</v>
      </c>
      <c r="AT13" s="3">
        <f t="shared" si="17"/>
        <v>0</v>
      </c>
      <c r="AU13" t="s">
        <v>314</v>
      </c>
      <c r="AV13" s="72" t="str">
        <f>Дума_партии[[#This Row],[КОИБ]]</f>
        <v>N</v>
      </c>
      <c r="AW13" s="1" t="str">
        <f>IF(Дума_партии[[#This Row],[Наблюдателей]]=0,"",Дума_партии[[#This Row],[Наблюдателей]])</f>
        <v/>
      </c>
      <c r="AX13"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366.99722991689748</v>
      </c>
      <c r="AY13" s="10">
        <f>2*(Дума_одномандатный[[#This Row],[Майданов Денис Васильевич]]-(AC$203/100)*Дума_одномандатный[[#This Row],[Число действительных избирательных бюллетеней]])</f>
        <v>529.94399999999996</v>
      </c>
      <c r="AZ13" s="10">
        <f>(Дума_одномандатный[[#This Row],[Вброс]]+Дума_одномандатный[[#This Row],[Перекладывание]])/2</f>
        <v>448.47061495844872</v>
      </c>
    </row>
    <row r="14" spans="1:52" x14ac:dyDescent="0.4">
      <c r="A14" t="s">
        <v>49</v>
      </c>
      <c r="B14" t="s">
        <v>50</v>
      </c>
      <c r="C14" t="s">
        <v>51</v>
      </c>
      <c r="D14" t="s">
        <v>138</v>
      </c>
      <c r="E14" t="s">
        <v>142</v>
      </c>
      <c r="F14" s="1">
        <f t="shared" ca="1" si="2"/>
        <v>696</v>
      </c>
      <c r="G14" s="8" t="str">
        <f>Дума_партии[[#This Row],[Местоположение]]</f>
        <v>Звенигород</v>
      </c>
      <c r="H14" s="2" t="str">
        <f>LEFT(Дума_одномандатный[[#This Row],[tik]],4)&amp;"."&amp;IF(ISNUMBER(VALUE(RIGHT(Дума_одномандатный[[#This Row],[tik]]))),RIGHT(Дума_одномандатный[[#This Row],[tik]]),"")</f>
        <v>Один.</v>
      </c>
      <c r="I14">
        <v>1099</v>
      </c>
      <c r="J14" s="8">
        <f>Дума_одномандатный[[#This Row],[Число избирателей, внесенных в список избирателей на момент окончания голосования]]</f>
        <v>1099</v>
      </c>
      <c r="K14">
        <v>1000</v>
      </c>
      <c r="L14">
        <v>0</v>
      </c>
      <c r="M14">
        <v>329</v>
      </c>
      <c r="N14">
        <v>250</v>
      </c>
      <c r="O14" s="3">
        <f t="shared" si="3"/>
        <v>52.684258416742495</v>
      </c>
      <c r="P14" s="3">
        <f t="shared" si="4"/>
        <v>22.747952684258415</v>
      </c>
      <c r="Q14">
        <v>421</v>
      </c>
      <c r="R14">
        <v>250</v>
      </c>
      <c r="S14">
        <v>329</v>
      </c>
      <c r="T14" s="1">
        <f t="shared" si="5"/>
        <v>579</v>
      </c>
      <c r="U14" s="3">
        <f t="shared" si="6"/>
        <v>43.177892918825563</v>
      </c>
      <c r="V14">
        <v>21</v>
      </c>
      <c r="W14" s="3">
        <f t="shared" si="7"/>
        <v>3.6269430051813472</v>
      </c>
      <c r="X14">
        <v>558</v>
      </c>
      <c r="Y14">
        <v>0</v>
      </c>
      <c r="Z14">
        <v>0</v>
      </c>
      <c r="AA14">
        <v>13</v>
      </c>
      <c r="AB14" s="3">
        <f t="shared" si="8"/>
        <v>2.245250431778929</v>
      </c>
      <c r="AC14">
        <v>34</v>
      </c>
      <c r="AD14" s="3">
        <f t="shared" si="9"/>
        <v>5.8721934369602762</v>
      </c>
      <c r="AE14">
        <v>41</v>
      </c>
      <c r="AF14" s="3">
        <f t="shared" si="10"/>
        <v>7.081174438687392</v>
      </c>
      <c r="AG14">
        <v>212</v>
      </c>
      <c r="AH14" s="3">
        <f t="shared" si="11"/>
        <v>36.614853195164073</v>
      </c>
      <c r="AI14">
        <v>36</v>
      </c>
      <c r="AJ14" s="3">
        <f t="shared" si="12"/>
        <v>6.2176165803108807</v>
      </c>
      <c r="AK14">
        <v>57</v>
      </c>
      <c r="AL14" s="3">
        <f t="shared" si="13"/>
        <v>9.8445595854922274</v>
      </c>
      <c r="AM14">
        <v>13</v>
      </c>
      <c r="AN14" s="3">
        <f t="shared" si="14"/>
        <v>2.245250431778929</v>
      </c>
      <c r="AO14">
        <v>118</v>
      </c>
      <c r="AP14" s="3">
        <f t="shared" si="15"/>
        <v>20.379965457685664</v>
      </c>
      <c r="AQ14">
        <v>21</v>
      </c>
      <c r="AR14" s="3">
        <f t="shared" si="16"/>
        <v>3.6269430051813472</v>
      </c>
      <c r="AS14">
        <v>13</v>
      </c>
      <c r="AT14" s="3">
        <f t="shared" si="17"/>
        <v>2.245250431778929</v>
      </c>
      <c r="AU14" t="s">
        <v>314</v>
      </c>
      <c r="AV14" s="72">
        <f>Дума_партии[[#This Row],[КОИБ]]</f>
        <v>2017</v>
      </c>
      <c r="AW14" s="1" t="str">
        <f>IF(Дума_партии[[#This Row],[Наблюдателей]]=0,"",Дума_партии[[#This Row],[Наблюдателей]])</f>
        <v/>
      </c>
      <c r="AX14"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78.775623268698041</v>
      </c>
      <c r="AY14" s="10">
        <f>2*(Дума_одномандатный[[#This Row],[Майданов Денис Васильевич]]-(AC$203/100)*Дума_одномандатный[[#This Row],[Число действительных избирательных бюллетеней]])</f>
        <v>113.75199999999995</v>
      </c>
      <c r="AZ14" s="10">
        <f>(Дума_одномандатный[[#This Row],[Вброс]]+Дума_одномандатный[[#This Row],[Перекладывание]])/2</f>
        <v>96.263811634348997</v>
      </c>
    </row>
    <row r="15" spans="1:52" x14ac:dyDescent="0.4">
      <c r="A15" t="s">
        <v>49</v>
      </c>
      <c r="B15" t="s">
        <v>50</v>
      </c>
      <c r="C15" t="s">
        <v>51</v>
      </c>
      <c r="D15" t="s">
        <v>138</v>
      </c>
      <c r="E15" t="s">
        <v>143</v>
      </c>
      <c r="F15" s="1">
        <f t="shared" ca="1" si="2"/>
        <v>697</v>
      </c>
      <c r="G15" s="8" t="str">
        <f>Дума_партии[[#This Row],[Местоположение]]</f>
        <v>Звенигород</v>
      </c>
      <c r="H15" s="2" t="str">
        <f>LEFT(Дума_одномандатный[[#This Row],[tik]],4)&amp;"."&amp;IF(ISNUMBER(VALUE(RIGHT(Дума_одномандатный[[#This Row],[tik]]))),RIGHT(Дума_одномандатный[[#This Row],[tik]]),"")</f>
        <v>Один.</v>
      </c>
      <c r="I15">
        <v>2400</v>
      </c>
      <c r="J15" s="8">
        <f>Дума_одномандатный[[#This Row],[Число избирателей, внесенных в список избирателей на момент окончания голосования]]</f>
        <v>2400</v>
      </c>
      <c r="K15">
        <v>2000</v>
      </c>
      <c r="L15">
        <v>0</v>
      </c>
      <c r="M15">
        <v>725</v>
      </c>
      <c r="N15">
        <v>116</v>
      </c>
      <c r="O15" s="3">
        <f t="shared" si="3"/>
        <v>35.041666666666664</v>
      </c>
      <c r="P15" s="3">
        <f t="shared" si="4"/>
        <v>4.833333333333333</v>
      </c>
      <c r="Q15">
        <v>1159</v>
      </c>
      <c r="R15">
        <v>116</v>
      </c>
      <c r="S15">
        <v>725</v>
      </c>
      <c r="T15" s="1">
        <f t="shared" si="5"/>
        <v>841</v>
      </c>
      <c r="U15" s="3">
        <f t="shared" si="6"/>
        <v>13.793103448275861</v>
      </c>
      <c r="V15">
        <v>23</v>
      </c>
      <c r="W15" s="3">
        <f t="shared" si="7"/>
        <v>2.7348394768133173</v>
      </c>
      <c r="X15">
        <v>818</v>
      </c>
      <c r="Y15">
        <v>0</v>
      </c>
      <c r="Z15">
        <v>0</v>
      </c>
      <c r="AA15">
        <v>19</v>
      </c>
      <c r="AB15" s="3">
        <f t="shared" si="8"/>
        <v>2.2592152199762188</v>
      </c>
      <c r="AC15">
        <v>40</v>
      </c>
      <c r="AD15" s="3">
        <f t="shared" si="9"/>
        <v>4.756242568370987</v>
      </c>
      <c r="AE15">
        <v>52</v>
      </c>
      <c r="AF15" s="3">
        <f t="shared" si="10"/>
        <v>6.183115338882283</v>
      </c>
      <c r="AG15">
        <v>333</v>
      </c>
      <c r="AH15" s="3">
        <f t="shared" si="11"/>
        <v>39.595719381688468</v>
      </c>
      <c r="AI15">
        <v>46</v>
      </c>
      <c r="AJ15" s="3">
        <f t="shared" si="12"/>
        <v>5.4696789536266346</v>
      </c>
      <c r="AK15">
        <v>52</v>
      </c>
      <c r="AL15" s="3">
        <f t="shared" si="13"/>
        <v>6.183115338882283</v>
      </c>
      <c r="AM15">
        <v>15</v>
      </c>
      <c r="AN15" s="3">
        <f t="shared" si="14"/>
        <v>1.78359096313912</v>
      </c>
      <c r="AO15">
        <v>229</v>
      </c>
      <c r="AP15" s="3">
        <f t="shared" si="15"/>
        <v>27.229488703923899</v>
      </c>
      <c r="AQ15">
        <v>21</v>
      </c>
      <c r="AR15" s="3">
        <f t="shared" si="16"/>
        <v>2.4970273483947683</v>
      </c>
      <c r="AS15">
        <v>11</v>
      </c>
      <c r="AT15" s="3">
        <f t="shared" si="17"/>
        <v>1.3079667063020215</v>
      </c>
      <c r="AU15" t="s">
        <v>314</v>
      </c>
      <c r="AV15" s="72">
        <f>Дума_партии[[#This Row],[КОИБ]]</f>
        <v>2017</v>
      </c>
      <c r="AW15" s="1" t="str">
        <f>IF(Дума_партии[[#This Row],[Наблюдателей]]=0,"",Дума_партии[[#This Row],[Наблюдателей]])</f>
        <v/>
      </c>
      <c r="AX15"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146.25484764542935</v>
      </c>
      <c r="AY15" s="10">
        <f>2*(Дума_одномандатный[[#This Row],[Майданов Денис Васильевич]]-(AC$203/100)*Дума_одномандатный[[#This Row],[Число действительных избирательных бюллетеней]])</f>
        <v>211.19199999999995</v>
      </c>
      <c r="AZ15" s="10">
        <f>(Дума_одномандатный[[#This Row],[Вброс]]+Дума_одномандатный[[#This Row],[Перекладывание]])/2</f>
        <v>178.72342382271466</v>
      </c>
    </row>
    <row r="16" spans="1:52" x14ac:dyDescent="0.4">
      <c r="A16" t="s">
        <v>49</v>
      </c>
      <c r="B16" t="s">
        <v>50</v>
      </c>
      <c r="C16" t="s">
        <v>51</v>
      </c>
      <c r="D16" t="s">
        <v>138</v>
      </c>
      <c r="E16" t="s">
        <v>144</v>
      </c>
      <c r="F16" s="1">
        <f t="shared" ca="1" si="2"/>
        <v>698</v>
      </c>
      <c r="G16" s="8" t="str">
        <f>Дума_партии[[#This Row],[Местоположение]]</f>
        <v>Звенигород</v>
      </c>
      <c r="H16" s="2" t="str">
        <f>LEFT(Дума_одномандатный[[#This Row],[tik]],4)&amp;"."&amp;IF(ISNUMBER(VALUE(RIGHT(Дума_одномандатный[[#This Row],[tik]]))),RIGHT(Дума_одномандатный[[#This Row],[tik]]),"")</f>
        <v>Один.</v>
      </c>
      <c r="I16">
        <v>1217</v>
      </c>
      <c r="J16" s="8">
        <f>Дума_одномандатный[[#This Row],[Число избирателей, внесенных в список избирателей на момент окончания голосования]]</f>
        <v>1217</v>
      </c>
      <c r="K16">
        <v>1000</v>
      </c>
      <c r="L16">
        <v>0</v>
      </c>
      <c r="M16">
        <v>412</v>
      </c>
      <c r="N16">
        <v>174</v>
      </c>
      <c r="O16" s="3">
        <f t="shared" si="3"/>
        <v>48.151191454396056</v>
      </c>
      <c r="P16" s="3">
        <f t="shared" si="4"/>
        <v>14.297452752670502</v>
      </c>
      <c r="Q16">
        <v>414</v>
      </c>
      <c r="R16">
        <v>174</v>
      </c>
      <c r="S16">
        <v>412</v>
      </c>
      <c r="T16" s="1">
        <f t="shared" si="5"/>
        <v>586</v>
      </c>
      <c r="U16" s="3">
        <f t="shared" si="6"/>
        <v>29.69283276450512</v>
      </c>
      <c r="V16">
        <v>32</v>
      </c>
      <c r="W16" s="3">
        <f t="shared" si="7"/>
        <v>5.4607508532423212</v>
      </c>
      <c r="X16">
        <v>554</v>
      </c>
      <c r="Y16">
        <v>0</v>
      </c>
      <c r="Z16">
        <v>0</v>
      </c>
      <c r="AA16">
        <v>9</v>
      </c>
      <c r="AB16" s="3">
        <f t="shared" si="8"/>
        <v>1.5358361774744027</v>
      </c>
      <c r="AC16">
        <v>39</v>
      </c>
      <c r="AD16" s="3">
        <f t="shared" si="9"/>
        <v>6.6552901023890785</v>
      </c>
      <c r="AE16">
        <v>52</v>
      </c>
      <c r="AF16" s="3">
        <f t="shared" si="10"/>
        <v>8.8737201365187719</v>
      </c>
      <c r="AG16">
        <v>269</v>
      </c>
      <c r="AH16" s="3">
        <f t="shared" si="11"/>
        <v>45.904436860068259</v>
      </c>
      <c r="AI16">
        <v>19</v>
      </c>
      <c r="AJ16" s="3">
        <f t="shared" si="12"/>
        <v>3.2423208191126278</v>
      </c>
      <c r="AK16">
        <v>26</v>
      </c>
      <c r="AL16" s="3">
        <f t="shared" si="13"/>
        <v>4.4368600682593859</v>
      </c>
      <c r="AM16">
        <v>7</v>
      </c>
      <c r="AN16" s="3">
        <f t="shared" si="14"/>
        <v>1.1945392491467577</v>
      </c>
      <c r="AO16">
        <v>110</v>
      </c>
      <c r="AP16" s="3">
        <f t="shared" si="15"/>
        <v>18.771331058020479</v>
      </c>
      <c r="AQ16">
        <v>11</v>
      </c>
      <c r="AR16" s="3">
        <f t="shared" si="16"/>
        <v>1.8771331058020477</v>
      </c>
      <c r="AS16">
        <v>12</v>
      </c>
      <c r="AT16" s="3">
        <f t="shared" si="17"/>
        <v>2.0477815699658701</v>
      </c>
      <c r="AU16" t="s">
        <v>314</v>
      </c>
      <c r="AV16" s="72">
        <f>Дума_партии[[#This Row],[КОИБ]]</f>
        <v>2017</v>
      </c>
      <c r="AW16" s="1" t="str">
        <f>IF(Дума_партии[[#This Row],[Наблюдателей]]=0,"",Дума_партии[[#This Row],[Наблюдателей]])</f>
        <v/>
      </c>
      <c r="AX16"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159.26315789473682</v>
      </c>
      <c r="AY16" s="10">
        <f>2*(Дума_одномандатный[[#This Row],[Майданов Денис Васильевич]]-(AC$203/100)*Дума_одномандатный[[#This Row],[Число действительных избирательных бюллетеней]])</f>
        <v>229.976</v>
      </c>
      <c r="AZ16" s="10">
        <f>(Дума_одномандатный[[#This Row],[Вброс]]+Дума_одномандатный[[#This Row],[Перекладывание]])/2</f>
        <v>194.61957894736841</v>
      </c>
    </row>
    <row r="17" spans="1:52" x14ac:dyDescent="0.4">
      <c r="A17" t="s">
        <v>49</v>
      </c>
      <c r="B17" t="s">
        <v>50</v>
      </c>
      <c r="C17" t="s">
        <v>51</v>
      </c>
      <c r="D17" t="s">
        <v>138</v>
      </c>
      <c r="E17" t="s">
        <v>145</v>
      </c>
      <c r="F17" s="1">
        <f t="shared" ca="1" si="2"/>
        <v>699</v>
      </c>
      <c r="G17" s="8" t="str">
        <f>Дума_партии[[#This Row],[Местоположение]]</f>
        <v>Звенигород</v>
      </c>
      <c r="H17" s="2" t="str">
        <f>LEFT(Дума_одномандатный[[#This Row],[tik]],4)&amp;"."&amp;IF(ISNUMBER(VALUE(RIGHT(Дума_одномандатный[[#This Row],[tik]]))),RIGHT(Дума_одномандатный[[#This Row],[tik]]),"")</f>
        <v>Один.</v>
      </c>
      <c r="I17">
        <v>1969</v>
      </c>
      <c r="J17" s="8">
        <f>Дума_одномандатный[[#This Row],[Число избирателей, внесенных в список избирателей на момент окончания голосования]]</f>
        <v>1969</v>
      </c>
      <c r="K17">
        <v>1500</v>
      </c>
      <c r="L17">
        <v>0</v>
      </c>
      <c r="M17">
        <v>554</v>
      </c>
      <c r="N17">
        <v>27</v>
      </c>
      <c r="O17" s="3">
        <f t="shared" si="3"/>
        <v>29.507364144235652</v>
      </c>
      <c r="P17" s="3">
        <f t="shared" si="4"/>
        <v>1.3712544438801422</v>
      </c>
      <c r="Q17">
        <v>919</v>
      </c>
      <c r="R17">
        <v>27</v>
      </c>
      <c r="S17">
        <v>554</v>
      </c>
      <c r="T17" s="1">
        <f t="shared" si="5"/>
        <v>581</v>
      </c>
      <c r="U17" s="3">
        <f t="shared" si="6"/>
        <v>4.6471600688468158</v>
      </c>
      <c r="V17">
        <v>40</v>
      </c>
      <c r="W17" s="3">
        <f t="shared" si="7"/>
        <v>6.8846815834767643</v>
      </c>
      <c r="X17">
        <v>541</v>
      </c>
      <c r="Y17">
        <v>0</v>
      </c>
      <c r="Z17">
        <v>0</v>
      </c>
      <c r="AA17">
        <v>26</v>
      </c>
      <c r="AB17" s="3">
        <f t="shared" si="8"/>
        <v>4.4750430292598971</v>
      </c>
      <c r="AC17">
        <v>30</v>
      </c>
      <c r="AD17" s="3">
        <f t="shared" si="9"/>
        <v>5.1635111876075728</v>
      </c>
      <c r="AE17">
        <v>47</v>
      </c>
      <c r="AF17" s="3">
        <f t="shared" si="10"/>
        <v>8.0895008605851988</v>
      </c>
      <c r="AG17">
        <v>169</v>
      </c>
      <c r="AH17" s="3">
        <f t="shared" si="11"/>
        <v>29.087779690189329</v>
      </c>
      <c r="AI17">
        <v>38</v>
      </c>
      <c r="AJ17" s="3">
        <f t="shared" si="12"/>
        <v>6.540447504302926</v>
      </c>
      <c r="AK17">
        <v>34</v>
      </c>
      <c r="AL17" s="3">
        <f t="shared" si="13"/>
        <v>5.8519793459552494</v>
      </c>
      <c r="AM17">
        <v>14</v>
      </c>
      <c r="AN17" s="3">
        <f t="shared" si="14"/>
        <v>2.4096385542168677</v>
      </c>
      <c r="AO17">
        <v>153</v>
      </c>
      <c r="AP17" s="3">
        <f t="shared" si="15"/>
        <v>26.333907056798623</v>
      </c>
      <c r="AQ17">
        <v>14</v>
      </c>
      <c r="AR17" s="3">
        <f t="shared" si="16"/>
        <v>2.4096385542168677</v>
      </c>
      <c r="AS17">
        <v>16</v>
      </c>
      <c r="AT17" s="3">
        <f t="shared" si="17"/>
        <v>2.7538726333907055</v>
      </c>
      <c r="AU17" t="s">
        <v>314</v>
      </c>
      <c r="AV17" s="72">
        <f>Дума_партии[[#This Row],[КОИБ]]</f>
        <v>2017</v>
      </c>
      <c r="AW17" s="1">
        <f>IF(Дума_партии[[#This Row],[Наблюдателей]]=0,"",Дума_партии[[#This Row],[Наблюдателей]])</f>
        <v>1</v>
      </c>
      <c r="AX17"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25.76454293628808</v>
      </c>
      <c r="AY17" s="10">
        <f>2*(Дума_одномандатный[[#This Row],[Майданов Денис Васильевич]]-(AC$203/100)*Дума_одномандатный[[#This Row],[Число действительных избирательных бюллетеней]])</f>
        <v>37.203999999999951</v>
      </c>
      <c r="AZ17" s="10">
        <f>(Дума_одномандатный[[#This Row],[Вброс]]+Дума_одномандатный[[#This Row],[Перекладывание]])/2</f>
        <v>31.484271468144016</v>
      </c>
    </row>
    <row r="18" spans="1:52" x14ac:dyDescent="0.4">
      <c r="A18" t="s">
        <v>49</v>
      </c>
      <c r="B18" t="s">
        <v>50</v>
      </c>
      <c r="C18" t="s">
        <v>51</v>
      </c>
      <c r="D18" t="s">
        <v>138</v>
      </c>
      <c r="E18" t="s">
        <v>146</v>
      </c>
      <c r="F18" s="1">
        <f t="shared" ca="1" si="2"/>
        <v>700</v>
      </c>
      <c r="G18" s="8" t="str">
        <f>Дума_партии[[#This Row],[Местоположение]]</f>
        <v>Звенигород</v>
      </c>
      <c r="H18" s="2" t="str">
        <f>LEFT(Дума_одномандатный[[#This Row],[tik]],4)&amp;"."&amp;IF(ISNUMBER(VALUE(RIGHT(Дума_одномандатный[[#This Row],[tik]]))),RIGHT(Дума_одномандатный[[#This Row],[tik]]),"")</f>
        <v>Один.</v>
      </c>
      <c r="I18">
        <v>377</v>
      </c>
      <c r="J18" s="8">
        <f>Дума_одномандатный[[#This Row],[Число избирателей, внесенных в список избирателей на момент окончания голосования]]</f>
        <v>377</v>
      </c>
      <c r="K18">
        <v>300</v>
      </c>
      <c r="L18">
        <v>0</v>
      </c>
      <c r="M18">
        <v>119</v>
      </c>
      <c r="N18">
        <v>49</v>
      </c>
      <c r="O18" s="3">
        <f t="shared" si="3"/>
        <v>44.562334217506631</v>
      </c>
      <c r="P18" s="3">
        <f t="shared" si="4"/>
        <v>12.9973474801061</v>
      </c>
      <c r="Q18">
        <v>132</v>
      </c>
      <c r="R18">
        <v>49</v>
      </c>
      <c r="S18">
        <v>119</v>
      </c>
      <c r="T18" s="1">
        <f t="shared" si="5"/>
        <v>168</v>
      </c>
      <c r="U18" s="3">
        <f t="shared" si="6"/>
        <v>29.166666666666668</v>
      </c>
      <c r="V18">
        <v>4</v>
      </c>
      <c r="W18" s="3">
        <f t="shared" si="7"/>
        <v>2.3809523809523809</v>
      </c>
      <c r="X18">
        <v>164</v>
      </c>
      <c r="Y18">
        <v>0</v>
      </c>
      <c r="Z18">
        <v>0</v>
      </c>
      <c r="AA18">
        <v>6</v>
      </c>
      <c r="AB18" s="3">
        <f t="shared" si="8"/>
        <v>3.5714285714285716</v>
      </c>
      <c r="AC18">
        <v>3</v>
      </c>
      <c r="AD18" s="3">
        <f t="shared" si="9"/>
        <v>1.7857142857142858</v>
      </c>
      <c r="AE18">
        <v>12</v>
      </c>
      <c r="AF18" s="3">
        <f t="shared" si="10"/>
        <v>7.1428571428571432</v>
      </c>
      <c r="AG18">
        <v>60</v>
      </c>
      <c r="AH18" s="3">
        <f t="shared" si="11"/>
        <v>35.714285714285715</v>
      </c>
      <c r="AI18">
        <v>16</v>
      </c>
      <c r="AJ18" s="3">
        <f t="shared" si="12"/>
        <v>9.5238095238095237</v>
      </c>
      <c r="AK18">
        <v>11</v>
      </c>
      <c r="AL18" s="3">
        <f t="shared" si="13"/>
        <v>6.5476190476190474</v>
      </c>
      <c r="AM18">
        <v>7</v>
      </c>
      <c r="AN18" s="3">
        <f t="shared" si="14"/>
        <v>4.166666666666667</v>
      </c>
      <c r="AO18">
        <v>35</v>
      </c>
      <c r="AP18" s="3">
        <f t="shared" si="15"/>
        <v>20.833333333333332</v>
      </c>
      <c r="AQ18">
        <v>8</v>
      </c>
      <c r="AR18" s="3">
        <f t="shared" si="16"/>
        <v>4.7619047619047619</v>
      </c>
      <c r="AS18">
        <v>6</v>
      </c>
      <c r="AT18" s="3">
        <f t="shared" si="17"/>
        <v>3.5714285714285716</v>
      </c>
      <c r="AU18" t="s">
        <v>314</v>
      </c>
      <c r="AV18" s="72">
        <f>Дума_партии[[#This Row],[КОИБ]]</f>
        <v>2017</v>
      </c>
      <c r="AW18" s="1" t="str">
        <f>IF(Дума_партии[[#This Row],[Наблюдателей]]=0,"",Дума_партии[[#This Row],[Наблюдателей]])</f>
        <v/>
      </c>
      <c r="AX18"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19.955678670360108</v>
      </c>
      <c r="AY18" s="10">
        <f>2*(Дума_одномандатный[[#This Row],[Майданов Денис Васильевич]]-(AC$203/100)*Дума_одномандатный[[#This Row],[Число действительных избирательных бюллетеней]])</f>
        <v>28.815999999999988</v>
      </c>
      <c r="AZ18" s="10">
        <f>(Дума_одномандатный[[#This Row],[Вброс]]+Дума_одномандатный[[#This Row],[Перекладывание]])/2</f>
        <v>24.385839335180048</v>
      </c>
    </row>
    <row r="19" spans="1:52" x14ac:dyDescent="0.4">
      <c r="A19" t="s">
        <v>49</v>
      </c>
      <c r="B19" t="s">
        <v>50</v>
      </c>
      <c r="C19" t="s">
        <v>51</v>
      </c>
      <c r="D19" t="s">
        <v>138</v>
      </c>
      <c r="E19" t="s">
        <v>147</v>
      </c>
      <c r="F19" s="1">
        <f t="shared" ca="1" si="2"/>
        <v>701</v>
      </c>
      <c r="G19" s="8" t="str">
        <f>Дума_партии[[#This Row],[Местоположение]]</f>
        <v>Звенигород</v>
      </c>
      <c r="H19" s="2" t="str">
        <f>LEFT(Дума_одномандатный[[#This Row],[tik]],4)&amp;"."&amp;IF(ISNUMBER(VALUE(RIGHT(Дума_одномандатный[[#This Row],[tik]]))),RIGHT(Дума_одномандатный[[#This Row],[tik]]),"")</f>
        <v>Один.</v>
      </c>
      <c r="I19">
        <v>1249</v>
      </c>
      <c r="J19" s="8">
        <f>Дума_одномандатный[[#This Row],[Число избирателей, внесенных в список избирателей на момент окончания голосования]]</f>
        <v>1249</v>
      </c>
      <c r="K19">
        <v>1000</v>
      </c>
      <c r="L19">
        <v>0</v>
      </c>
      <c r="M19">
        <v>398</v>
      </c>
      <c r="N19">
        <v>6</v>
      </c>
      <c r="O19" s="3">
        <f t="shared" si="3"/>
        <v>32.345876701361092</v>
      </c>
      <c r="P19" s="3">
        <f t="shared" si="4"/>
        <v>0.48038430744595678</v>
      </c>
      <c r="Q19">
        <v>596</v>
      </c>
      <c r="R19">
        <v>6</v>
      </c>
      <c r="S19">
        <v>392</v>
      </c>
      <c r="T19" s="1">
        <f t="shared" si="5"/>
        <v>398</v>
      </c>
      <c r="U19" s="3">
        <f t="shared" si="6"/>
        <v>1.5075376884422111</v>
      </c>
      <c r="V19">
        <v>20</v>
      </c>
      <c r="W19" s="3">
        <f t="shared" si="7"/>
        <v>5.025125628140704</v>
      </c>
      <c r="X19">
        <v>378</v>
      </c>
      <c r="Y19">
        <v>0</v>
      </c>
      <c r="Z19">
        <v>0</v>
      </c>
      <c r="AA19">
        <v>15</v>
      </c>
      <c r="AB19" s="3">
        <f t="shared" si="8"/>
        <v>3.7688442211055277</v>
      </c>
      <c r="AC19">
        <v>31</v>
      </c>
      <c r="AD19" s="3">
        <f t="shared" si="9"/>
        <v>7.7889447236180906</v>
      </c>
      <c r="AE19">
        <v>33</v>
      </c>
      <c r="AF19" s="3">
        <f t="shared" si="10"/>
        <v>8.291457286432161</v>
      </c>
      <c r="AG19">
        <v>90</v>
      </c>
      <c r="AH19" s="3">
        <f t="shared" si="11"/>
        <v>22.613065326633166</v>
      </c>
      <c r="AI19">
        <v>26</v>
      </c>
      <c r="AJ19" s="3">
        <f t="shared" si="12"/>
        <v>6.5326633165829149</v>
      </c>
      <c r="AK19">
        <v>27</v>
      </c>
      <c r="AL19" s="3">
        <f t="shared" si="13"/>
        <v>6.78391959798995</v>
      </c>
      <c r="AM19">
        <v>11</v>
      </c>
      <c r="AN19" s="3">
        <f t="shared" si="14"/>
        <v>2.7638190954773871</v>
      </c>
      <c r="AO19">
        <v>116</v>
      </c>
      <c r="AP19" s="3">
        <f t="shared" si="15"/>
        <v>29.145728643216081</v>
      </c>
      <c r="AQ19">
        <v>17</v>
      </c>
      <c r="AR19" s="3">
        <f t="shared" si="16"/>
        <v>4.2713567839195976</v>
      </c>
      <c r="AS19">
        <v>12</v>
      </c>
      <c r="AT19" s="3">
        <f t="shared" si="17"/>
        <v>3.0150753768844223</v>
      </c>
      <c r="AU19" t="s">
        <v>314</v>
      </c>
      <c r="AV19" s="72">
        <f>Дума_партии[[#This Row],[КОИБ]]</f>
        <v>2017</v>
      </c>
      <c r="AW19" s="1" t="str">
        <f>IF(Дума_партии[[#This Row],[Наблюдателей]]=0,"",Дума_партии[[#This Row],[Наблюдателей]])</f>
        <v/>
      </c>
      <c r="AX19"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-20.891966759002784</v>
      </c>
      <c r="AY19" s="10">
        <f>2*(Дума_одномандатный[[#This Row],[Майданов Денис Васильевич]]-(AC$203/100)*Дума_одномандатный[[#This Row],[Число действительных избирательных бюллетеней]])</f>
        <v>-30.168000000000006</v>
      </c>
      <c r="AZ19" s="10">
        <f>(Дума_одномандатный[[#This Row],[Вброс]]+Дума_одномандатный[[#This Row],[Перекладывание]])/2</f>
        <v>-25.529983379501395</v>
      </c>
    </row>
    <row r="20" spans="1:52" x14ac:dyDescent="0.4">
      <c r="A20" t="s">
        <v>49</v>
      </c>
      <c r="B20" t="s">
        <v>50</v>
      </c>
      <c r="C20" t="s">
        <v>51</v>
      </c>
      <c r="D20" t="s">
        <v>138</v>
      </c>
      <c r="E20" t="s">
        <v>148</v>
      </c>
      <c r="F20" s="1">
        <f t="shared" ca="1" si="2"/>
        <v>702</v>
      </c>
      <c r="G20" s="8" t="str">
        <f>Дума_партии[[#This Row],[Местоположение]]</f>
        <v>Звенигород</v>
      </c>
      <c r="H20" s="2" t="str">
        <f>LEFT(Дума_одномандатный[[#This Row],[tik]],4)&amp;"."&amp;IF(ISNUMBER(VALUE(RIGHT(Дума_одномандатный[[#This Row],[tik]]))),RIGHT(Дума_одномандатный[[#This Row],[tik]]),"")</f>
        <v>Один.</v>
      </c>
      <c r="I20">
        <v>1716</v>
      </c>
      <c r="J20" s="8">
        <f>Дума_одномандатный[[#This Row],[Число избирателей, внесенных в список избирателей на момент окончания голосования]]</f>
        <v>1716</v>
      </c>
      <c r="K20">
        <v>1500</v>
      </c>
      <c r="L20">
        <v>0</v>
      </c>
      <c r="M20">
        <v>624</v>
      </c>
      <c r="N20">
        <v>216</v>
      </c>
      <c r="O20" s="3">
        <f t="shared" si="3"/>
        <v>48.951048951048953</v>
      </c>
      <c r="P20" s="3">
        <f t="shared" si="4"/>
        <v>12.587412587412587</v>
      </c>
      <c r="Q20">
        <v>660</v>
      </c>
      <c r="R20">
        <v>216</v>
      </c>
      <c r="S20">
        <v>624</v>
      </c>
      <c r="T20" s="1">
        <f t="shared" si="5"/>
        <v>840</v>
      </c>
      <c r="U20" s="3">
        <f t="shared" si="6"/>
        <v>25.714285714285715</v>
      </c>
      <c r="V20">
        <v>62</v>
      </c>
      <c r="W20" s="3">
        <f t="shared" si="7"/>
        <v>7.3809523809523814</v>
      </c>
      <c r="X20">
        <v>778</v>
      </c>
      <c r="Y20">
        <v>0</v>
      </c>
      <c r="Z20">
        <v>0</v>
      </c>
      <c r="AA20">
        <v>15</v>
      </c>
      <c r="AB20" s="3">
        <f t="shared" si="8"/>
        <v>1.7857142857142858</v>
      </c>
      <c r="AC20">
        <v>22</v>
      </c>
      <c r="AD20" s="3">
        <f t="shared" si="9"/>
        <v>2.6190476190476191</v>
      </c>
      <c r="AE20">
        <v>47</v>
      </c>
      <c r="AF20" s="3">
        <f t="shared" si="10"/>
        <v>5.5952380952380949</v>
      </c>
      <c r="AG20">
        <v>381</v>
      </c>
      <c r="AH20" s="3">
        <f t="shared" si="11"/>
        <v>45.357142857142854</v>
      </c>
      <c r="AI20">
        <v>41</v>
      </c>
      <c r="AJ20" s="3">
        <f t="shared" si="12"/>
        <v>4.8809523809523814</v>
      </c>
      <c r="AK20">
        <v>53</v>
      </c>
      <c r="AL20" s="3">
        <f t="shared" si="13"/>
        <v>6.3095238095238093</v>
      </c>
      <c r="AM20">
        <v>13</v>
      </c>
      <c r="AN20" s="3">
        <f t="shared" si="14"/>
        <v>1.5476190476190477</v>
      </c>
      <c r="AO20">
        <v>174</v>
      </c>
      <c r="AP20" s="3">
        <f t="shared" si="15"/>
        <v>20.714285714285715</v>
      </c>
      <c r="AQ20">
        <v>17</v>
      </c>
      <c r="AR20" s="3">
        <f t="shared" si="16"/>
        <v>2.0238095238095237</v>
      </c>
      <c r="AS20">
        <v>15</v>
      </c>
      <c r="AT20" s="3">
        <f t="shared" si="17"/>
        <v>1.7857142857142858</v>
      </c>
      <c r="AU20" t="s">
        <v>314</v>
      </c>
      <c r="AV20" s="72">
        <f>Дума_партии[[#This Row],[КОИБ]]</f>
        <v>2017</v>
      </c>
      <c r="AW20" s="1" t="str">
        <f>IF(Дума_партии[[#This Row],[Наблюдателей]]=0,"",Дума_партии[[#This Row],[Наблюдателей]])</f>
        <v/>
      </c>
      <c r="AX20"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228.13850415512465</v>
      </c>
      <c r="AY20" s="10">
        <f>2*(Дума_одномандатный[[#This Row],[Майданов Денис Васильевич]]-(AC$203/100)*Дума_одномандатный[[#This Row],[Число действительных избирательных бюллетеней]])</f>
        <v>329.43199999999996</v>
      </c>
      <c r="AZ20" s="10">
        <f>(Дума_одномандатный[[#This Row],[Вброс]]+Дума_одномандатный[[#This Row],[Перекладывание]])/2</f>
        <v>278.78525207756229</v>
      </c>
    </row>
    <row r="21" spans="1:52" x14ac:dyDescent="0.4">
      <c r="A21" t="s">
        <v>49</v>
      </c>
      <c r="B21" t="s">
        <v>50</v>
      </c>
      <c r="C21" t="s">
        <v>51</v>
      </c>
      <c r="D21" t="s">
        <v>138</v>
      </c>
      <c r="E21" t="s">
        <v>149</v>
      </c>
      <c r="F21" s="1">
        <f t="shared" ca="1" si="2"/>
        <v>703</v>
      </c>
      <c r="G21" s="8" t="str">
        <f>Дума_партии[[#This Row],[Местоположение]]</f>
        <v>Звенигород</v>
      </c>
      <c r="H21" s="2" t="str">
        <f>LEFT(Дума_одномандатный[[#This Row],[tik]],4)&amp;"."&amp;IF(ISNUMBER(VALUE(RIGHT(Дума_одномандатный[[#This Row],[tik]]))),RIGHT(Дума_одномандатный[[#This Row],[tik]]),"")</f>
        <v>Один.</v>
      </c>
      <c r="I21">
        <v>2695</v>
      </c>
      <c r="J21" s="8">
        <f>Дума_одномандатный[[#This Row],[Число избирателей, внесенных в список избирателей на момент окончания голосования]]</f>
        <v>2695</v>
      </c>
      <c r="K21">
        <v>2000</v>
      </c>
      <c r="L21">
        <v>0</v>
      </c>
      <c r="M21">
        <v>768</v>
      </c>
      <c r="N21">
        <v>227</v>
      </c>
      <c r="O21" s="3">
        <f t="shared" si="3"/>
        <v>36.920222634508349</v>
      </c>
      <c r="P21" s="3">
        <f t="shared" si="4"/>
        <v>8.4230055658627094</v>
      </c>
      <c r="Q21">
        <v>1005</v>
      </c>
      <c r="R21">
        <v>227</v>
      </c>
      <c r="S21">
        <v>768</v>
      </c>
      <c r="T21" s="1">
        <f t="shared" si="5"/>
        <v>995</v>
      </c>
      <c r="U21" s="3">
        <f t="shared" si="6"/>
        <v>22.814070351758794</v>
      </c>
      <c r="V21">
        <v>50</v>
      </c>
      <c r="W21" s="3">
        <f t="shared" si="7"/>
        <v>5.025125628140704</v>
      </c>
      <c r="X21">
        <v>945</v>
      </c>
      <c r="Y21">
        <v>0</v>
      </c>
      <c r="Z21">
        <v>0</v>
      </c>
      <c r="AA21">
        <v>20</v>
      </c>
      <c r="AB21" s="3">
        <f t="shared" si="8"/>
        <v>2.0100502512562812</v>
      </c>
      <c r="AC21">
        <v>57</v>
      </c>
      <c r="AD21" s="3">
        <f t="shared" si="9"/>
        <v>5.7286432160804024</v>
      </c>
      <c r="AE21">
        <v>61</v>
      </c>
      <c r="AF21" s="3">
        <f t="shared" si="10"/>
        <v>6.1306532663316586</v>
      </c>
      <c r="AG21">
        <v>279</v>
      </c>
      <c r="AH21" s="3">
        <f t="shared" si="11"/>
        <v>28.040201005025125</v>
      </c>
      <c r="AI21">
        <v>78</v>
      </c>
      <c r="AJ21" s="3">
        <f t="shared" si="12"/>
        <v>7.8391959798994977</v>
      </c>
      <c r="AK21">
        <v>76</v>
      </c>
      <c r="AL21" s="3">
        <f t="shared" si="13"/>
        <v>7.6381909547738696</v>
      </c>
      <c r="AM21">
        <v>30</v>
      </c>
      <c r="AN21" s="3">
        <f t="shared" si="14"/>
        <v>3.0150753768844223</v>
      </c>
      <c r="AO21">
        <v>300</v>
      </c>
      <c r="AP21" s="3">
        <f t="shared" si="15"/>
        <v>30.150753768844222</v>
      </c>
      <c r="AQ21">
        <v>29</v>
      </c>
      <c r="AR21" s="3">
        <f t="shared" si="16"/>
        <v>2.9145728643216082</v>
      </c>
      <c r="AS21">
        <v>15</v>
      </c>
      <c r="AT21" s="3">
        <f t="shared" si="17"/>
        <v>1.5075376884422111</v>
      </c>
      <c r="AU21" t="s">
        <v>314</v>
      </c>
      <c r="AV21" s="72">
        <f>Дума_партии[[#This Row],[КОИБ]]</f>
        <v>2017</v>
      </c>
      <c r="AW21" s="1" t="str">
        <f>IF(Дума_партии[[#This Row],[Наблюдателей]]=0,"",Дума_партии[[#This Row],[Наблюдателей]])</f>
        <v/>
      </c>
      <c r="AX21"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22.562326869806043</v>
      </c>
      <c r="AY21" s="10">
        <f>2*(Дума_одномандатный[[#This Row],[Майданов Денис Васильевич]]-(AC$203/100)*Дума_одномандатный[[#This Row],[Число действительных избирательных бюллетеней]])</f>
        <v>32.579999999999927</v>
      </c>
      <c r="AZ21" s="10">
        <f>(Дума_одномандатный[[#This Row],[Вброс]]+Дума_одномандатный[[#This Row],[Перекладывание]])/2</f>
        <v>27.571163434902985</v>
      </c>
    </row>
    <row r="22" spans="1:52" x14ac:dyDescent="0.4">
      <c r="A22" t="s">
        <v>49</v>
      </c>
      <c r="B22" t="s">
        <v>50</v>
      </c>
      <c r="C22" t="s">
        <v>51</v>
      </c>
      <c r="D22" t="s">
        <v>138</v>
      </c>
      <c r="E22" t="s">
        <v>150</v>
      </c>
      <c r="F22" s="1">
        <f t="shared" ca="1" si="2"/>
        <v>705</v>
      </c>
      <c r="G22" s="8" t="str">
        <f>Дума_партии[[#This Row],[Местоположение]]</f>
        <v>Звенигород</v>
      </c>
      <c r="H22" s="2" t="str">
        <f>LEFT(Дума_одномандатный[[#This Row],[tik]],4)&amp;"."&amp;IF(ISNUMBER(VALUE(RIGHT(Дума_одномандатный[[#This Row],[tik]]))),RIGHT(Дума_одномандатный[[#This Row],[tik]]),"")</f>
        <v>Один.</v>
      </c>
      <c r="I22">
        <v>1838</v>
      </c>
      <c r="J22" s="8">
        <f>Дума_одномандатный[[#This Row],[Число избирателей, внесенных в список избирателей на момент окончания голосования]]</f>
        <v>1838</v>
      </c>
      <c r="K22">
        <v>1500</v>
      </c>
      <c r="L22">
        <v>0</v>
      </c>
      <c r="M22">
        <v>476</v>
      </c>
      <c r="N22">
        <v>2</v>
      </c>
      <c r="O22" s="3">
        <f t="shared" si="3"/>
        <v>26.006528835690968</v>
      </c>
      <c r="P22" s="3">
        <f t="shared" si="4"/>
        <v>0.1088139281828074</v>
      </c>
      <c r="Q22">
        <v>1022</v>
      </c>
      <c r="R22">
        <v>2</v>
      </c>
      <c r="S22">
        <v>475</v>
      </c>
      <c r="T22" s="1">
        <f t="shared" si="5"/>
        <v>477</v>
      </c>
      <c r="U22" s="3">
        <f t="shared" si="6"/>
        <v>0.41928721174004191</v>
      </c>
      <c r="V22">
        <v>21</v>
      </c>
      <c r="W22" s="3">
        <f t="shared" si="7"/>
        <v>4.4025157232704402</v>
      </c>
      <c r="X22">
        <v>456</v>
      </c>
      <c r="Y22">
        <v>0</v>
      </c>
      <c r="Z22">
        <v>0</v>
      </c>
      <c r="AA22">
        <v>17</v>
      </c>
      <c r="AB22" s="3">
        <f t="shared" si="8"/>
        <v>3.5639412997903563</v>
      </c>
      <c r="AC22">
        <v>37</v>
      </c>
      <c r="AD22" s="3">
        <f t="shared" si="9"/>
        <v>7.7568134171907754</v>
      </c>
      <c r="AE22">
        <v>32</v>
      </c>
      <c r="AF22" s="3">
        <f t="shared" si="10"/>
        <v>6.7085953878406706</v>
      </c>
      <c r="AG22">
        <v>140</v>
      </c>
      <c r="AH22" s="3">
        <f t="shared" si="11"/>
        <v>29.350104821802937</v>
      </c>
      <c r="AI22">
        <v>31</v>
      </c>
      <c r="AJ22" s="3">
        <f t="shared" si="12"/>
        <v>6.4989517819706499</v>
      </c>
      <c r="AK22">
        <v>41</v>
      </c>
      <c r="AL22" s="3">
        <f t="shared" si="13"/>
        <v>8.5953878406708597</v>
      </c>
      <c r="AM22">
        <v>11</v>
      </c>
      <c r="AN22" s="3">
        <f t="shared" si="14"/>
        <v>2.3060796645702304</v>
      </c>
      <c r="AO22">
        <v>117</v>
      </c>
      <c r="AP22" s="3">
        <f t="shared" si="15"/>
        <v>24.528301886792452</v>
      </c>
      <c r="AQ22">
        <v>16</v>
      </c>
      <c r="AR22" s="3">
        <f t="shared" si="16"/>
        <v>3.3542976939203353</v>
      </c>
      <c r="AS22">
        <v>14</v>
      </c>
      <c r="AT22" s="3">
        <f t="shared" si="17"/>
        <v>2.9350104821802936</v>
      </c>
      <c r="AU22" t="s">
        <v>314</v>
      </c>
      <c r="AV22" s="72">
        <f>Дума_партии[[#This Row],[КОИБ]]</f>
        <v>2017</v>
      </c>
      <c r="AW22" s="1" t="str">
        <f>IF(Дума_партии[[#This Row],[Наблюдателей]]=0,"",Дума_партии[[#This Row],[Наблюдателей]])</f>
        <v/>
      </c>
      <c r="AX22"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18.326869806094166</v>
      </c>
      <c r="AY22" s="10">
        <f>2*(Дума_одномандатный[[#This Row],[Майданов Денис Васильевич]]-(AC$203/100)*Дума_одномандатный[[#This Row],[Число действительных избирательных бюллетеней]])</f>
        <v>26.46399999999997</v>
      </c>
      <c r="AZ22" s="10">
        <f>(Дума_одномандатный[[#This Row],[Вброс]]+Дума_одномандатный[[#This Row],[Перекладывание]])/2</f>
        <v>22.395434903047068</v>
      </c>
    </row>
    <row r="23" spans="1:52" x14ac:dyDescent="0.4">
      <c r="A23" t="s">
        <v>49</v>
      </c>
      <c r="B23" t="s">
        <v>50</v>
      </c>
      <c r="C23" t="s">
        <v>51</v>
      </c>
      <c r="D23" t="s">
        <v>138</v>
      </c>
      <c r="E23" t="s">
        <v>151</v>
      </c>
      <c r="F23" s="1">
        <f t="shared" ca="1" si="2"/>
        <v>2048</v>
      </c>
      <c r="G23" s="8" t="str">
        <f>Дума_партии[[#This Row],[Местоположение]]</f>
        <v>Большие Вяземы</v>
      </c>
      <c r="H23" s="2" t="str">
        <f>LEFT(Дума_одномандатный[[#This Row],[tik]],4)&amp;"."&amp;IF(ISNUMBER(VALUE(RIGHT(Дума_одномандатный[[#This Row],[tik]]))),RIGHT(Дума_одномандатный[[#This Row],[tik]]),"")</f>
        <v>Один.</v>
      </c>
      <c r="I23">
        <v>2079</v>
      </c>
      <c r="J23" s="8">
        <f>Дума_одномандатный[[#This Row],[Число избирателей, внесенных в список избирателей на момент окончания голосования]]</f>
        <v>2079</v>
      </c>
      <c r="K23">
        <v>1700</v>
      </c>
      <c r="L23">
        <v>0</v>
      </c>
      <c r="M23">
        <v>974</v>
      </c>
      <c r="N23">
        <v>21</v>
      </c>
      <c r="O23" s="3">
        <f t="shared" si="3"/>
        <v>47.85954785954786</v>
      </c>
      <c r="P23" s="3">
        <f t="shared" si="4"/>
        <v>1.0101010101010102</v>
      </c>
      <c r="Q23">
        <v>705</v>
      </c>
      <c r="R23">
        <v>21</v>
      </c>
      <c r="S23">
        <v>974</v>
      </c>
      <c r="T23" s="1">
        <f t="shared" si="5"/>
        <v>995</v>
      </c>
      <c r="U23" s="3">
        <f t="shared" si="6"/>
        <v>2.1105527638190953</v>
      </c>
      <c r="V23">
        <v>36</v>
      </c>
      <c r="W23" s="3">
        <f t="shared" si="7"/>
        <v>3.6180904522613067</v>
      </c>
      <c r="X23">
        <v>959</v>
      </c>
      <c r="Y23">
        <v>0</v>
      </c>
      <c r="Z23">
        <v>0</v>
      </c>
      <c r="AA23">
        <v>10</v>
      </c>
      <c r="AB23" s="3">
        <f t="shared" si="8"/>
        <v>1.0050251256281406</v>
      </c>
      <c r="AC23">
        <v>30</v>
      </c>
      <c r="AD23" s="3">
        <f t="shared" si="9"/>
        <v>3.0150753768844223</v>
      </c>
      <c r="AE23">
        <v>45</v>
      </c>
      <c r="AF23" s="3">
        <f t="shared" si="10"/>
        <v>4.5226130653266328</v>
      </c>
      <c r="AG23">
        <v>517</v>
      </c>
      <c r="AH23" s="3">
        <f t="shared" si="11"/>
        <v>51.959798994974875</v>
      </c>
      <c r="AI23">
        <v>37</v>
      </c>
      <c r="AJ23" s="3">
        <f t="shared" si="12"/>
        <v>3.7185929648241207</v>
      </c>
      <c r="AK23">
        <v>39</v>
      </c>
      <c r="AL23" s="3">
        <f t="shared" si="13"/>
        <v>3.9195979899497488</v>
      </c>
      <c r="AM23">
        <v>10</v>
      </c>
      <c r="AN23" s="3">
        <f t="shared" si="14"/>
        <v>1.0050251256281406</v>
      </c>
      <c r="AO23">
        <v>230</v>
      </c>
      <c r="AP23" s="3">
        <f t="shared" si="15"/>
        <v>23.115577889447238</v>
      </c>
      <c r="AQ23">
        <v>15</v>
      </c>
      <c r="AR23" s="3">
        <f t="shared" si="16"/>
        <v>1.5075376884422111</v>
      </c>
      <c r="AS23">
        <v>26</v>
      </c>
      <c r="AT23" s="3">
        <f t="shared" si="17"/>
        <v>2.613065326633166</v>
      </c>
      <c r="AU23" t="s">
        <v>314</v>
      </c>
      <c r="AV23" s="72" t="str">
        <f>Дума_партии[[#This Row],[КОИБ]]</f>
        <v>N</v>
      </c>
      <c r="AW23" s="1" t="str">
        <f>IF(Дума_партии[[#This Row],[Наблюдателей]]=0,"",Дума_партии[[#This Row],[Наблюдателей]])</f>
        <v/>
      </c>
      <c r="AX23"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346.81163434903044</v>
      </c>
      <c r="AY23" s="10">
        <f>2*(Дума_одномандатный[[#This Row],[Майданов Денис Васильевич]]-(AC$203/100)*Дума_одномандатный[[#This Row],[Число действительных избирательных бюллетеней]])</f>
        <v>500.79599999999994</v>
      </c>
      <c r="AZ23" s="10">
        <f>(Дума_одномандатный[[#This Row],[Вброс]]+Дума_одномандатный[[#This Row],[Перекладывание]])/2</f>
        <v>423.80381717451519</v>
      </c>
    </row>
    <row r="24" spans="1:52" x14ac:dyDescent="0.4">
      <c r="A24" t="s">
        <v>49</v>
      </c>
      <c r="B24" t="s">
        <v>50</v>
      </c>
      <c r="C24" t="s">
        <v>51</v>
      </c>
      <c r="D24" t="s">
        <v>138</v>
      </c>
      <c r="E24" t="s">
        <v>152</v>
      </c>
      <c r="F24" s="1">
        <f t="shared" ca="1" si="2"/>
        <v>2050</v>
      </c>
      <c r="G24" s="8" t="str">
        <f>Дума_партии[[#This Row],[Местоположение]]</f>
        <v>Большие Вяземы</v>
      </c>
      <c r="H24" s="2" t="str">
        <f>LEFT(Дума_одномандатный[[#This Row],[tik]],4)&amp;"."&amp;IF(ISNUMBER(VALUE(RIGHT(Дума_одномандатный[[#This Row],[tik]]))),RIGHT(Дума_одномандатный[[#This Row],[tik]]),"")</f>
        <v>Один.</v>
      </c>
      <c r="I24">
        <v>2215</v>
      </c>
      <c r="J24" s="8">
        <f>Дума_одномандатный[[#This Row],[Число избирателей, внесенных в список избирателей на момент окончания голосования]]</f>
        <v>2215</v>
      </c>
      <c r="K24">
        <v>2000</v>
      </c>
      <c r="L24">
        <v>0</v>
      </c>
      <c r="M24">
        <v>700</v>
      </c>
      <c r="N24">
        <v>34</v>
      </c>
      <c r="O24" s="3">
        <f t="shared" si="3"/>
        <v>33.137697516930025</v>
      </c>
      <c r="P24" s="3">
        <f t="shared" si="4"/>
        <v>1.5349887133182845</v>
      </c>
      <c r="Q24">
        <v>1264</v>
      </c>
      <c r="R24">
        <v>34</v>
      </c>
      <c r="S24">
        <v>700</v>
      </c>
      <c r="T24" s="1">
        <f t="shared" si="5"/>
        <v>734</v>
      </c>
      <c r="U24" s="3">
        <f t="shared" si="6"/>
        <v>4.6321525885558579</v>
      </c>
      <c r="V24">
        <v>20</v>
      </c>
      <c r="W24" s="3">
        <f t="shared" si="7"/>
        <v>2.7247956403269753</v>
      </c>
      <c r="X24">
        <v>714</v>
      </c>
      <c r="Y24">
        <v>2</v>
      </c>
      <c r="Z24">
        <v>0</v>
      </c>
      <c r="AA24">
        <v>34</v>
      </c>
      <c r="AB24" s="3">
        <f t="shared" si="8"/>
        <v>4.6321525885558579</v>
      </c>
      <c r="AC24">
        <v>32</v>
      </c>
      <c r="AD24" s="3">
        <f t="shared" si="9"/>
        <v>4.3596730245231612</v>
      </c>
      <c r="AE24">
        <v>54</v>
      </c>
      <c r="AF24" s="3">
        <f t="shared" si="10"/>
        <v>7.3569482288828336</v>
      </c>
      <c r="AG24">
        <v>178</v>
      </c>
      <c r="AH24" s="3">
        <f t="shared" si="11"/>
        <v>24.250681198910083</v>
      </c>
      <c r="AI24">
        <v>53</v>
      </c>
      <c r="AJ24" s="3">
        <f t="shared" si="12"/>
        <v>7.2207084468664853</v>
      </c>
      <c r="AK24">
        <v>52</v>
      </c>
      <c r="AL24" s="3">
        <f t="shared" si="13"/>
        <v>7.084468664850136</v>
      </c>
      <c r="AM24">
        <v>17</v>
      </c>
      <c r="AN24" s="3">
        <f t="shared" si="14"/>
        <v>2.3160762942779289</v>
      </c>
      <c r="AO24">
        <v>242</v>
      </c>
      <c r="AP24" s="3">
        <f t="shared" si="15"/>
        <v>32.970027247956402</v>
      </c>
      <c r="AQ24">
        <v>38</v>
      </c>
      <c r="AR24" s="3">
        <f t="shared" si="16"/>
        <v>5.177111716621253</v>
      </c>
      <c r="AS24">
        <v>14</v>
      </c>
      <c r="AT24" s="3">
        <f t="shared" si="17"/>
        <v>1.9073569482288828</v>
      </c>
      <c r="AU24" t="s">
        <v>314</v>
      </c>
      <c r="AV24" s="72">
        <f>Дума_партии[[#This Row],[КОИБ]]</f>
        <v>2017</v>
      </c>
      <c r="AW24" s="1" t="str">
        <f>IF(Дума_партии[[#This Row],[Наблюдателей]]=0,"",Дума_партии[[#This Row],[Наблюдателей]])</f>
        <v/>
      </c>
      <c r="AX24"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-28.382271468144069</v>
      </c>
      <c r="AY24" s="10">
        <f>2*(Дума_одномандатный[[#This Row],[Майданов Денис Васильевич]]-(AC$203/100)*Дума_одномандатный[[#This Row],[Число действительных избирательных бюллетеней]])</f>
        <v>-40.984000000000037</v>
      </c>
      <c r="AZ24" s="10">
        <f>(Дума_одномандатный[[#This Row],[Вброс]]+Дума_одномандатный[[#This Row],[Перекладывание]])/2</f>
        <v>-34.683135734072053</v>
      </c>
    </row>
    <row r="25" spans="1:52" x14ac:dyDescent="0.4">
      <c r="A25" t="s">
        <v>49</v>
      </c>
      <c r="B25" t="s">
        <v>50</v>
      </c>
      <c r="C25" t="s">
        <v>51</v>
      </c>
      <c r="D25" t="s">
        <v>138</v>
      </c>
      <c r="E25" t="s">
        <v>153</v>
      </c>
      <c r="F25" s="1">
        <f t="shared" ca="1" si="2"/>
        <v>2051</v>
      </c>
      <c r="G25" s="8" t="str">
        <f>Дума_партии[[#This Row],[Местоположение]]</f>
        <v>Большие Вяземы</v>
      </c>
      <c r="H25" s="2" t="str">
        <f>LEFT(Дума_одномандатный[[#This Row],[tik]],4)&amp;"."&amp;IF(ISNUMBER(VALUE(RIGHT(Дума_одномандатный[[#This Row],[tik]]))),RIGHT(Дума_одномандатный[[#This Row],[tik]]),"")</f>
        <v>Один.</v>
      </c>
      <c r="I25">
        <v>2085</v>
      </c>
      <c r="J25" s="8">
        <f>Дума_одномандатный[[#This Row],[Число избирателей, внесенных в список избирателей на момент окончания голосования]]</f>
        <v>2085</v>
      </c>
      <c r="K25">
        <v>1800</v>
      </c>
      <c r="L25">
        <v>0</v>
      </c>
      <c r="M25">
        <v>745</v>
      </c>
      <c r="N25">
        <v>32</v>
      </c>
      <c r="O25" s="3">
        <f t="shared" si="3"/>
        <v>37.266187050359711</v>
      </c>
      <c r="P25" s="3">
        <f t="shared" si="4"/>
        <v>1.5347721822541966</v>
      </c>
      <c r="Q25">
        <v>1023</v>
      </c>
      <c r="R25">
        <v>32</v>
      </c>
      <c r="S25">
        <v>745</v>
      </c>
      <c r="T25" s="1">
        <f t="shared" si="5"/>
        <v>777</v>
      </c>
      <c r="U25" s="3">
        <f t="shared" si="6"/>
        <v>4.1184041184041185</v>
      </c>
      <c r="V25">
        <v>35</v>
      </c>
      <c r="W25" s="3">
        <f t="shared" si="7"/>
        <v>4.5045045045045047</v>
      </c>
      <c r="X25">
        <v>742</v>
      </c>
      <c r="Y25">
        <v>0</v>
      </c>
      <c r="Z25">
        <v>0</v>
      </c>
      <c r="AA25">
        <v>16</v>
      </c>
      <c r="AB25" s="3">
        <f t="shared" si="8"/>
        <v>2.0592020592020592</v>
      </c>
      <c r="AC25">
        <v>46</v>
      </c>
      <c r="AD25" s="3">
        <f t="shared" si="9"/>
        <v>5.9202059202059205</v>
      </c>
      <c r="AE25">
        <v>79</v>
      </c>
      <c r="AF25" s="3">
        <f t="shared" si="10"/>
        <v>10.167310167310168</v>
      </c>
      <c r="AG25">
        <v>226</v>
      </c>
      <c r="AH25" s="3">
        <f t="shared" si="11"/>
        <v>29.086229086229086</v>
      </c>
      <c r="AI25">
        <v>47</v>
      </c>
      <c r="AJ25" s="3">
        <f t="shared" si="12"/>
        <v>6.0489060489060487</v>
      </c>
      <c r="AK25">
        <v>49</v>
      </c>
      <c r="AL25" s="3">
        <f t="shared" si="13"/>
        <v>6.3063063063063067</v>
      </c>
      <c r="AM25">
        <v>15</v>
      </c>
      <c r="AN25" s="3">
        <f t="shared" si="14"/>
        <v>1.9305019305019304</v>
      </c>
      <c r="AO25">
        <v>217</v>
      </c>
      <c r="AP25" s="3">
        <f t="shared" si="15"/>
        <v>27.927927927927929</v>
      </c>
      <c r="AQ25">
        <v>26</v>
      </c>
      <c r="AR25" s="3">
        <f t="shared" si="16"/>
        <v>3.346203346203346</v>
      </c>
      <c r="AS25">
        <v>21</v>
      </c>
      <c r="AT25" s="3">
        <f t="shared" si="17"/>
        <v>2.7027027027027026</v>
      </c>
      <c r="AU25" t="s">
        <v>314</v>
      </c>
      <c r="AV25" s="72">
        <f>Дума_партии[[#This Row],[КОИБ]]</f>
        <v>2017</v>
      </c>
      <c r="AW25" s="1" t="str">
        <f>IF(Дума_партии[[#This Row],[Наблюдателей]]=0,"",Дума_партии[[#This Row],[Наблюдателей]])</f>
        <v/>
      </c>
      <c r="AX25"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27.318559556786681</v>
      </c>
      <c r="AY25" s="10">
        <f>2*(Дума_одномандатный[[#This Row],[Майданов Денис Васильевич]]-(AC$203/100)*Дума_одномандатный[[#This Row],[Число действительных избирательных бюллетеней]])</f>
        <v>39.447999999999979</v>
      </c>
      <c r="AZ25" s="10">
        <f>(Дума_одномандатный[[#This Row],[Вброс]]+Дума_одномандатный[[#This Row],[Перекладывание]])/2</f>
        <v>33.38327977839333</v>
      </c>
    </row>
    <row r="26" spans="1:52" x14ac:dyDescent="0.4">
      <c r="A26" t="s">
        <v>49</v>
      </c>
      <c r="B26" t="s">
        <v>50</v>
      </c>
      <c r="C26" t="s">
        <v>51</v>
      </c>
      <c r="D26" t="s">
        <v>138</v>
      </c>
      <c r="E26" t="s">
        <v>154</v>
      </c>
      <c r="F26" s="1">
        <f t="shared" ca="1" si="2"/>
        <v>2054</v>
      </c>
      <c r="G26" s="8" t="str">
        <f>Дума_партии[[#This Row],[Местоположение]]</f>
        <v>Большие Вяземы</v>
      </c>
      <c r="H26" s="2" t="str">
        <f>LEFT(Дума_одномандатный[[#This Row],[tik]],4)&amp;"."&amp;IF(ISNUMBER(VALUE(RIGHT(Дума_одномандатный[[#This Row],[tik]]))),RIGHT(Дума_одномандатный[[#This Row],[tik]]),"")</f>
        <v>Один.</v>
      </c>
      <c r="I26">
        <v>2269</v>
      </c>
      <c r="J26" s="8">
        <f>Дума_одномандатный[[#This Row],[Число избирателей, внесенных в список избирателей на момент окончания голосования]]</f>
        <v>2269</v>
      </c>
      <c r="K26">
        <v>2000</v>
      </c>
      <c r="L26">
        <v>0</v>
      </c>
      <c r="M26">
        <v>669</v>
      </c>
      <c r="N26">
        <v>43</v>
      </c>
      <c r="O26" s="3">
        <f t="shared" si="3"/>
        <v>31.379462318201853</v>
      </c>
      <c r="P26" s="3">
        <f t="shared" si="4"/>
        <v>1.8951079770824151</v>
      </c>
      <c r="Q26">
        <v>1287</v>
      </c>
      <c r="R26">
        <v>42</v>
      </c>
      <c r="S26">
        <v>669</v>
      </c>
      <c r="T26" s="1">
        <f t="shared" si="5"/>
        <v>711</v>
      </c>
      <c r="U26" s="3">
        <f t="shared" si="6"/>
        <v>5.9071729957805905</v>
      </c>
      <c r="V26">
        <v>40</v>
      </c>
      <c r="W26" s="3">
        <f t="shared" si="7"/>
        <v>5.6258790436005626</v>
      </c>
      <c r="X26">
        <v>671</v>
      </c>
      <c r="Y26">
        <v>1</v>
      </c>
      <c r="Z26">
        <v>0</v>
      </c>
      <c r="AA26">
        <v>27</v>
      </c>
      <c r="AB26" s="3">
        <f t="shared" si="8"/>
        <v>3.7974683544303796</v>
      </c>
      <c r="AC26">
        <v>39</v>
      </c>
      <c r="AD26" s="3">
        <f t="shared" si="9"/>
        <v>5.4852320675105481</v>
      </c>
      <c r="AE26">
        <v>52</v>
      </c>
      <c r="AF26" s="3">
        <f t="shared" si="10"/>
        <v>7.3136427566807312</v>
      </c>
      <c r="AG26">
        <v>237</v>
      </c>
      <c r="AH26" s="3">
        <f t="shared" si="11"/>
        <v>33.333333333333336</v>
      </c>
      <c r="AI26">
        <v>48</v>
      </c>
      <c r="AJ26" s="3">
        <f t="shared" si="12"/>
        <v>6.7510548523206753</v>
      </c>
      <c r="AK26">
        <v>40</v>
      </c>
      <c r="AL26" s="3">
        <f t="shared" si="13"/>
        <v>5.6258790436005626</v>
      </c>
      <c r="AM26">
        <v>19</v>
      </c>
      <c r="AN26" s="3">
        <f t="shared" si="14"/>
        <v>2.6722925457102673</v>
      </c>
      <c r="AO26">
        <v>171</v>
      </c>
      <c r="AP26" s="3">
        <f t="shared" si="15"/>
        <v>24.050632911392405</v>
      </c>
      <c r="AQ26">
        <v>26</v>
      </c>
      <c r="AR26" s="3">
        <f t="shared" si="16"/>
        <v>3.6568213783403656</v>
      </c>
      <c r="AS26">
        <v>12</v>
      </c>
      <c r="AT26" s="3">
        <f t="shared" si="17"/>
        <v>1.6877637130801688</v>
      </c>
      <c r="AU26" t="s">
        <v>314</v>
      </c>
      <c r="AV26" s="72">
        <f>Дума_партии[[#This Row],[КОИБ]]</f>
        <v>2017</v>
      </c>
      <c r="AW26" s="1" t="str">
        <f>IF(Дума_партии[[#This Row],[Наблюдателей]]=0,"",Дума_партии[[#This Row],[Наблюдателей]])</f>
        <v/>
      </c>
      <c r="AX26"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69.891966759002742</v>
      </c>
      <c r="AY26" s="10">
        <f>2*(Дума_одномандатный[[#This Row],[Майданов Денис Васильевич]]-(AC$203/100)*Дума_одномандатный[[#This Row],[Число действительных избирательных бюллетеней]])</f>
        <v>100.92399999999998</v>
      </c>
      <c r="AZ26" s="10">
        <f>(Дума_одномандатный[[#This Row],[Вброс]]+Дума_одномандатный[[#This Row],[Перекладывание]])/2</f>
        <v>85.40798337950136</v>
      </c>
    </row>
    <row r="27" spans="1:52" x14ac:dyDescent="0.4">
      <c r="A27" t="s">
        <v>49</v>
      </c>
      <c r="B27" t="s">
        <v>50</v>
      </c>
      <c r="C27" t="s">
        <v>51</v>
      </c>
      <c r="D27" t="s">
        <v>138</v>
      </c>
      <c r="E27" t="s">
        <v>155</v>
      </c>
      <c r="F27" s="1">
        <f t="shared" ca="1" si="2"/>
        <v>2056</v>
      </c>
      <c r="G27" s="8" t="str">
        <f>Дума_партии[[#This Row],[Местоположение]]</f>
        <v>Большие Вяземы</v>
      </c>
      <c r="H27" s="2" t="str">
        <f>LEFT(Дума_одномандатный[[#This Row],[tik]],4)&amp;"."&amp;IF(ISNUMBER(VALUE(RIGHT(Дума_одномандатный[[#This Row],[tik]]))),RIGHT(Дума_одномандатный[[#This Row],[tik]]),"")</f>
        <v>Один.</v>
      </c>
      <c r="I27">
        <v>2112</v>
      </c>
      <c r="J27" s="8">
        <f>Дума_одномандатный[[#This Row],[Число избирателей, внесенных в список избирателей на момент окончания голосования]]</f>
        <v>2112</v>
      </c>
      <c r="K27">
        <v>1800</v>
      </c>
      <c r="L27">
        <v>0</v>
      </c>
      <c r="M27">
        <v>735</v>
      </c>
      <c r="N27">
        <v>81</v>
      </c>
      <c r="O27" s="3">
        <f t="shared" si="3"/>
        <v>38.636363636363633</v>
      </c>
      <c r="P27" s="3">
        <f t="shared" si="4"/>
        <v>3.8352272727272729</v>
      </c>
      <c r="Q27">
        <v>984</v>
      </c>
      <c r="R27">
        <v>81</v>
      </c>
      <c r="S27">
        <v>735</v>
      </c>
      <c r="T27" s="1">
        <f t="shared" si="5"/>
        <v>816</v>
      </c>
      <c r="U27" s="3">
        <f t="shared" si="6"/>
        <v>9.9264705882352935</v>
      </c>
      <c r="V27">
        <v>53</v>
      </c>
      <c r="W27" s="3">
        <f t="shared" si="7"/>
        <v>6.4950980392156863</v>
      </c>
      <c r="X27">
        <v>763</v>
      </c>
      <c r="Y27">
        <v>0</v>
      </c>
      <c r="Z27">
        <v>0</v>
      </c>
      <c r="AA27">
        <v>21</v>
      </c>
      <c r="AB27" s="3">
        <f t="shared" si="8"/>
        <v>2.5735294117647061</v>
      </c>
      <c r="AC27">
        <v>41</v>
      </c>
      <c r="AD27" s="3">
        <f t="shared" si="9"/>
        <v>5.0245098039215685</v>
      </c>
      <c r="AE27">
        <v>63</v>
      </c>
      <c r="AF27" s="3">
        <f t="shared" si="10"/>
        <v>7.7205882352941178</v>
      </c>
      <c r="AG27">
        <v>262</v>
      </c>
      <c r="AH27" s="3">
        <f t="shared" si="11"/>
        <v>32.107843137254903</v>
      </c>
      <c r="AI27">
        <v>38</v>
      </c>
      <c r="AJ27" s="3">
        <f t="shared" si="12"/>
        <v>4.6568627450980395</v>
      </c>
      <c r="AK27">
        <v>60</v>
      </c>
      <c r="AL27" s="3">
        <f t="shared" si="13"/>
        <v>7.3529411764705879</v>
      </c>
      <c r="AM27">
        <v>13</v>
      </c>
      <c r="AN27" s="3">
        <f t="shared" si="14"/>
        <v>1.5931372549019607</v>
      </c>
      <c r="AO27">
        <v>214</v>
      </c>
      <c r="AP27" s="3">
        <f t="shared" si="15"/>
        <v>26.225490196078432</v>
      </c>
      <c r="AQ27">
        <v>27</v>
      </c>
      <c r="AR27" s="3">
        <f t="shared" si="16"/>
        <v>3.3088235294117645</v>
      </c>
      <c r="AS27">
        <v>24</v>
      </c>
      <c r="AT27" s="3">
        <f t="shared" si="17"/>
        <v>2.9411764705882355</v>
      </c>
      <c r="AU27" t="s">
        <v>314</v>
      </c>
      <c r="AV27" s="72">
        <f>Дума_партии[[#This Row],[КОИБ]]</f>
        <v>2017</v>
      </c>
      <c r="AW27" s="1" t="str">
        <f>IF(Дума_партии[[#This Row],[Наблюдателей]]=0,"",Дума_партии[[#This Row],[Наблюдателей]])</f>
        <v/>
      </c>
      <c r="AX27"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69.094182825484751</v>
      </c>
      <c r="AY27" s="10">
        <f>2*(Дума_одномандатный[[#This Row],[Майданов Денис Васильевич]]-(AC$203/100)*Дума_одномандатный[[#This Row],[Число действительных избирательных бюллетеней]])</f>
        <v>99.771999999999935</v>
      </c>
      <c r="AZ27" s="10">
        <f>(Дума_одномандатный[[#This Row],[Вброс]]+Дума_одномандатный[[#This Row],[Перекладывание]])/2</f>
        <v>84.433091412742343</v>
      </c>
    </row>
    <row r="28" spans="1:52" x14ac:dyDescent="0.4">
      <c r="A28" t="s">
        <v>49</v>
      </c>
      <c r="B28" t="s">
        <v>50</v>
      </c>
      <c r="C28" t="s">
        <v>51</v>
      </c>
      <c r="D28" t="s">
        <v>138</v>
      </c>
      <c r="E28" t="s">
        <v>156</v>
      </c>
      <c r="F28" s="1">
        <f t="shared" ca="1" si="2"/>
        <v>2058</v>
      </c>
      <c r="G28" s="8" t="str">
        <f>Дума_партии[[#This Row],[Местоположение]]</f>
        <v>Голицыно</v>
      </c>
      <c r="H28" s="2" t="str">
        <f>LEFT(Дума_одномандатный[[#This Row],[tik]],4)&amp;"."&amp;IF(ISNUMBER(VALUE(RIGHT(Дума_одномандатный[[#This Row],[tik]]))),RIGHT(Дума_одномандатный[[#This Row],[tik]]),"")</f>
        <v>Один.</v>
      </c>
      <c r="I28">
        <v>2016</v>
      </c>
      <c r="J28" s="8">
        <f>Дума_одномандатный[[#This Row],[Число избирателей, внесенных в список избирателей на момент окончания голосования]]</f>
        <v>2016</v>
      </c>
      <c r="K28">
        <v>1500</v>
      </c>
      <c r="L28">
        <v>0</v>
      </c>
      <c r="M28">
        <v>936</v>
      </c>
      <c r="N28">
        <v>23</v>
      </c>
      <c r="O28" s="3">
        <f t="shared" si="3"/>
        <v>47.569444444444443</v>
      </c>
      <c r="P28" s="3">
        <f t="shared" si="4"/>
        <v>1.1408730158730158</v>
      </c>
      <c r="Q28">
        <v>541</v>
      </c>
      <c r="R28">
        <v>23</v>
      </c>
      <c r="S28">
        <v>936</v>
      </c>
      <c r="T28" s="1">
        <f t="shared" si="5"/>
        <v>959</v>
      </c>
      <c r="U28" s="3">
        <f t="shared" si="6"/>
        <v>2.3983315954118876</v>
      </c>
      <c r="V28">
        <v>43</v>
      </c>
      <c r="W28" s="3">
        <f t="shared" si="7"/>
        <v>4.4838373305526593</v>
      </c>
      <c r="X28">
        <v>916</v>
      </c>
      <c r="Y28">
        <v>0</v>
      </c>
      <c r="Z28">
        <v>0</v>
      </c>
      <c r="AA28">
        <v>35</v>
      </c>
      <c r="AB28" s="3">
        <f t="shared" si="8"/>
        <v>3.6496350364963503</v>
      </c>
      <c r="AC28">
        <v>55</v>
      </c>
      <c r="AD28" s="3">
        <f t="shared" si="9"/>
        <v>5.7351407716371217</v>
      </c>
      <c r="AE28">
        <v>71</v>
      </c>
      <c r="AF28" s="3">
        <f t="shared" si="10"/>
        <v>7.4035453597497396</v>
      </c>
      <c r="AG28">
        <v>380</v>
      </c>
      <c r="AH28" s="3">
        <f t="shared" si="11"/>
        <v>39.624608967674661</v>
      </c>
      <c r="AI28">
        <v>71</v>
      </c>
      <c r="AJ28" s="3">
        <f t="shared" si="12"/>
        <v>7.4035453597497396</v>
      </c>
      <c r="AK28">
        <v>74</v>
      </c>
      <c r="AL28" s="3">
        <f t="shared" si="13"/>
        <v>7.7163712200208554</v>
      </c>
      <c r="AM28">
        <v>16</v>
      </c>
      <c r="AN28" s="3">
        <f t="shared" si="14"/>
        <v>1.6684045881126173</v>
      </c>
      <c r="AO28">
        <v>161</v>
      </c>
      <c r="AP28" s="3">
        <f t="shared" si="15"/>
        <v>16.788321167883211</v>
      </c>
      <c r="AQ28">
        <v>27</v>
      </c>
      <c r="AR28" s="3">
        <f t="shared" si="16"/>
        <v>2.8154327424400418</v>
      </c>
      <c r="AS28">
        <v>26</v>
      </c>
      <c r="AT28" s="3">
        <f t="shared" si="17"/>
        <v>2.7111574556830029</v>
      </c>
      <c r="AU28" t="s">
        <v>314</v>
      </c>
      <c r="AV28" s="72">
        <f>Дума_партии[[#This Row],[КОИБ]]</f>
        <v>2017</v>
      </c>
      <c r="AW28" s="1" t="str">
        <f>IF(Дума_партии[[#This Row],[Наблюдателей]]=0,"",Дума_партии[[#This Row],[Наблюдателей]])</f>
        <v/>
      </c>
      <c r="AX28"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173.61772853185593</v>
      </c>
      <c r="AY28" s="10">
        <f>2*(Дума_одномандатный[[#This Row],[Майданов Денис Васильевич]]-(AC$203/100)*Дума_одномандатный[[#This Row],[Число действительных избирательных бюллетеней]])</f>
        <v>250.70399999999995</v>
      </c>
      <c r="AZ28" s="10">
        <f>(Дума_одномандатный[[#This Row],[Вброс]]+Дума_одномандатный[[#This Row],[Перекладывание]])/2</f>
        <v>212.16086426592796</v>
      </c>
    </row>
    <row r="29" spans="1:52" x14ac:dyDescent="0.4">
      <c r="A29" t="s">
        <v>49</v>
      </c>
      <c r="B29" t="s">
        <v>50</v>
      </c>
      <c r="C29" t="s">
        <v>51</v>
      </c>
      <c r="D29" t="s">
        <v>138</v>
      </c>
      <c r="E29" t="s">
        <v>157</v>
      </c>
      <c r="F29" s="1">
        <f t="shared" ca="1" si="2"/>
        <v>2059</v>
      </c>
      <c r="G29" s="8" t="str">
        <f>Дума_партии[[#This Row],[Местоположение]]</f>
        <v>Голицыно</v>
      </c>
      <c r="H29" s="2" t="str">
        <f>LEFT(Дума_одномандатный[[#This Row],[tik]],4)&amp;"."&amp;IF(ISNUMBER(VALUE(RIGHT(Дума_одномандатный[[#This Row],[tik]]))),RIGHT(Дума_одномандатный[[#This Row],[tik]]),"")</f>
        <v>Один.</v>
      </c>
      <c r="I29">
        <v>2330</v>
      </c>
      <c r="J29" s="8">
        <f>Дума_одномандатный[[#This Row],[Число избирателей, внесенных в список избирателей на момент окончания голосования]]</f>
        <v>2330</v>
      </c>
      <c r="K29">
        <v>1800</v>
      </c>
      <c r="L29">
        <v>0</v>
      </c>
      <c r="M29">
        <v>1000</v>
      </c>
      <c r="N29">
        <v>9</v>
      </c>
      <c r="O29" s="3">
        <f t="shared" si="3"/>
        <v>43.30472103004292</v>
      </c>
      <c r="P29" s="3">
        <f t="shared" si="4"/>
        <v>0.38626609442060084</v>
      </c>
      <c r="Q29">
        <v>791</v>
      </c>
      <c r="R29">
        <v>9</v>
      </c>
      <c r="S29">
        <v>989</v>
      </c>
      <c r="T29" s="1">
        <f t="shared" si="5"/>
        <v>998</v>
      </c>
      <c r="U29" s="3">
        <f t="shared" si="6"/>
        <v>0.90180360721442887</v>
      </c>
      <c r="V29">
        <v>63</v>
      </c>
      <c r="W29" s="3">
        <f t="shared" si="7"/>
        <v>6.3126252505010019</v>
      </c>
      <c r="X29">
        <v>935</v>
      </c>
      <c r="Y29">
        <v>0</v>
      </c>
      <c r="Z29">
        <v>0</v>
      </c>
      <c r="AA29">
        <v>33</v>
      </c>
      <c r="AB29" s="3">
        <f t="shared" si="8"/>
        <v>3.3066132264529058</v>
      </c>
      <c r="AC29">
        <v>72</v>
      </c>
      <c r="AD29" s="3">
        <f t="shared" si="9"/>
        <v>7.214428857715431</v>
      </c>
      <c r="AE29">
        <v>56</v>
      </c>
      <c r="AF29" s="3">
        <f t="shared" si="10"/>
        <v>5.6112224448897798</v>
      </c>
      <c r="AG29">
        <v>398</v>
      </c>
      <c r="AH29" s="3">
        <f t="shared" si="11"/>
        <v>39.879759519038075</v>
      </c>
      <c r="AI29">
        <v>75</v>
      </c>
      <c r="AJ29" s="3">
        <f t="shared" si="12"/>
        <v>7.5150300601202407</v>
      </c>
      <c r="AK29">
        <v>68</v>
      </c>
      <c r="AL29" s="3">
        <f t="shared" si="13"/>
        <v>6.8136272545090177</v>
      </c>
      <c r="AM29">
        <v>16</v>
      </c>
      <c r="AN29" s="3">
        <f t="shared" si="14"/>
        <v>1.6032064128256514</v>
      </c>
      <c r="AO29">
        <v>166</v>
      </c>
      <c r="AP29" s="3">
        <f t="shared" si="15"/>
        <v>16.633266533066131</v>
      </c>
      <c r="AQ29">
        <v>32</v>
      </c>
      <c r="AR29" s="3">
        <f t="shared" si="16"/>
        <v>3.2064128256513027</v>
      </c>
      <c r="AS29">
        <v>19</v>
      </c>
      <c r="AT29" s="3">
        <f t="shared" si="17"/>
        <v>1.9038076152304608</v>
      </c>
      <c r="AU29" t="s">
        <v>314</v>
      </c>
      <c r="AV29" s="72">
        <f>Дума_партии[[#This Row],[КОИБ]]</f>
        <v>2017</v>
      </c>
      <c r="AW29" s="1" t="str">
        <f>IF(Дума_партии[[#This Row],[Наблюдателей]]=0,"",Дума_партии[[#This Row],[Наблюдателей]])</f>
        <v/>
      </c>
      <c r="AX29"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191.2326869806094</v>
      </c>
      <c r="AY29" s="10">
        <f>2*(Дума_одномандатный[[#This Row],[Майданов Денис Васильевич]]-(AC$203/100)*Дума_одномандатный[[#This Row],[Число действительных избирательных бюллетеней]])</f>
        <v>276.14</v>
      </c>
      <c r="AZ29" s="10">
        <f>(Дума_одномандатный[[#This Row],[Вброс]]+Дума_одномандатный[[#This Row],[Перекладывание]])/2</f>
        <v>233.68634349030469</v>
      </c>
    </row>
    <row r="30" spans="1:52" x14ac:dyDescent="0.4">
      <c r="A30" t="s">
        <v>49</v>
      </c>
      <c r="B30" t="s">
        <v>50</v>
      </c>
      <c r="C30" t="s">
        <v>51</v>
      </c>
      <c r="D30" t="s">
        <v>138</v>
      </c>
      <c r="E30" t="s">
        <v>158</v>
      </c>
      <c r="F30" s="1">
        <f t="shared" ca="1" si="2"/>
        <v>2061</v>
      </c>
      <c r="G30" s="8" t="str">
        <f>Дума_партии[[#This Row],[Местоположение]]</f>
        <v>Голицыно</v>
      </c>
      <c r="H30" s="2" t="str">
        <f>LEFT(Дума_одномандатный[[#This Row],[tik]],4)&amp;"."&amp;IF(ISNUMBER(VALUE(RIGHT(Дума_одномандатный[[#This Row],[tik]]))),RIGHT(Дума_одномандатный[[#This Row],[tik]]),"")</f>
        <v>Один.</v>
      </c>
      <c r="I30">
        <v>2212</v>
      </c>
      <c r="J30" s="8">
        <f>Дума_одномандатный[[#This Row],[Число избирателей, внесенных в список избирателей на момент окончания голосования]]</f>
        <v>2212</v>
      </c>
      <c r="K30">
        <v>1800</v>
      </c>
      <c r="L30">
        <v>0</v>
      </c>
      <c r="M30">
        <v>1062</v>
      </c>
      <c r="N30">
        <v>21</v>
      </c>
      <c r="O30" s="3">
        <f t="shared" si="3"/>
        <v>48.960216998191683</v>
      </c>
      <c r="P30" s="3">
        <f t="shared" si="4"/>
        <v>0.94936708860759489</v>
      </c>
      <c r="Q30">
        <v>717</v>
      </c>
      <c r="R30">
        <v>20</v>
      </c>
      <c r="S30">
        <v>1058</v>
      </c>
      <c r="T30" s="1">
        <f t="shared" si="5"/>
        <v>1078</v>
      </c>
      <c r="U30" s="3">
        <f t="shared" si="6"/>
        <v>1.8552875695732838</v>
      </c>
      <c r="V30">
        <v>63</v>
      </c>
      <c r="W30" s="3">
        <f t="shared" si="7"/>
        <v>5.8441558441558445</v>
      </c>
      <c r="X30">
        <v>1015</v>
      </c>
      <c r="Y30">
        <v>0</v>
      </c>
      <c r="Z30">
        <v>0</v>
      </c>
      <c r="AA30">
        <v>51</v>
      </c>
      <c r="AB30" s="3">
        <f t="shared" si="8"/>
        <v>4.7309833024118735</v>
      </c>
      <c r="AC30">
        <v>62</v>
      </c>
      <c r="AD30" s="3">
        <f t="shared" si="9"/>
        <v>5.7513914656771803</v>
      </c>
      <c r="AE30">
        <v>59</v>
      </c>
      <c r="AF30" s="3">
        <f t="shared" si="10"/>
        <v>5.4730983302411875</v>
      </c>
      <c r="AG30">
        <v>487</v>
      </c>
      <c r="AH30" s="3">
        <f t="shared" si="11"/>
        <v>45.176252319109459</v>
      </c>
      <c r="AI30">
        <v>57</v>
      </c>
      <c r="AJ30" s="3">
        <f t="shared" si="12"/>
        <v>5.287569573283859</v>
      </c>
      <c r="AK30">
        <v>57</v>
      </c>
      <c r="AL30" s="3">
        <f t="shared" si="13"/>
        <v>5.287569573283859</v>
      </c>
      <c r="AM30">
        <v>16</v>
      </c>
      <c r="AN30" s="3">
        <f t="shared" si="14"/>
        <v>1.484230055658627</v>
      </c>
      <c r="AO30">
        <v>162</v>
      </c>
      <c r="AP30" s="3">
        <f t="shared" si="15"/>
        <v>15.027829313543599</v>
      </c>
      <c r="AQ30">
        <v>35</v>
      </c>
      <c r="AR30" s="3">
        <f t="shared" si="16"/>
        <v>3.2467532467532467</v>
      </c>
      <c r="AS30">
        <v>29</v>
      </c>
      <c r="AT30" s="3">
        <f t="shared" si="17"/>
        <v>2.6901669758812616</v>
      </c>
      <c r="AU30" t="s">
        <v>314</v>
      </c>
      <c r="AV30" s="72">
        <f>Дума_партии[[#This Row],[КОИБ]]</f>
        <v>2017</v>
      </c>
      <c r="AW30" s="1" t="str">
        <f>IF(Дума_партии[[#This Row],[Наблюдателей]]=0,"",Дума_партии[[#This Row],[Наблюдателей]])</f>
        <v/>
      </c>
      <c r="AX30"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283.6980609418282</v>
      </c>
      <c r="AY30" s="10">
        <f>2*(Дума_одномандатный[[#This Row],[Майданов Денис Васильевич]]-(AC$203/100)*Дума_одномандатный[[#This Row],[Число действительных избирательных бюллетеней]])</f>
        <v>409.65999999999997</v>
      </c>
      <c r="AZ30" s="10">
        <f>(Дума_одномандатный[[#This Row],[Вброс]]+Дума_одномандатный[[#This Row],[Перекладывание]])/2</f>
        <v>346.67903047091409</v>
      </c>
    </row>
    <row r="31" spans="1:52" x14ac:dyDescent="0.4">
      <c r="A31" t="s">
        <v>49</v>
      </c>
      <c r="B31" t="s">
        <v>50</v>
      </c>
      <c r="C31" t="s">
        <v>51</v>
      </c>
      <c r="D31" t="s">
        <v>138</v>
      </c>
      <c r="E31" t="s">
        <v>159</v>
      </c>
      <c r="F31" s="1">
        <f t="shared" ca="1" si="2"/>
        <v>2063</v>
      </c>
      <c r="G31" s="8" t="str">
        <f>Дума_партии[[#This Row],[Местоположение]]</f>
        <v>Голицыно</v>
      </c>
      <c r="H31" s="2" t="str">
        <f>LEFT(Дума_одномандатный[[#This Row],[tik]],4)&amp;"."&amp;IF(ISNUMBER(VALUE(RIGHT(Дума_одномандатный[[#This Row],[tik]]))),RIGHT(Дума_одномандатный[[#This Row],[tik]]),"")</f>
        <v>Один.</v>
      </c>
      <c r="I31">
        <v>1758</v>
      </c>
      <c r="J31" s="8">
        <f>Дума_одномандатный[[#This Row],[Число избирателей, внесенных в список избирателей на момент окончания голосования]]</f>
        <v>1758</v>
      </c>
      <c r="K31">
        <v>1500</v>
      </c>
      <c r="L31">
        <v>0</v>
      </c>
      <c r="M31">
        <v>592</v>
      </c>
      <c r="N31">
        <v>13</v>
      </c>
      <c r="O31" s="3">
        <f t="shared" si="3"/>
        <v>34.414106939704212</v>
      </c>
      <c r="P31" s="3">
        <f t="shared" si="4"/>
        <v>0.73947667804323092</v>
      </c>
      <c r="Q31">
        <v>895</v>
      </c>
      <c r="R31">
        <v>13</v>
      </c>
      <c r="S31">
        <v>592</v>
      </c>
      <c r="T31" s="1">
        <f t="shared" si="5"/>
        <v>605</v>
      </c>
      <c r="U31" s="3">
        <f t="shared" si="6"/>
        <v>2.1487603305785123</v>
      </c>
      <c r="V31">
        <v>37</v>
      </c>
      <c r="W31" s="3">
        <f t="shared" si="7"/>
        <v>6.115702479338843</v>
      </c>
      <c r="X31">
        <v>568</v>
      </c>
      <c r="Y31">
        <v>0</v>
      </c>
      <c r="Z31">
        <v>0</v>
      </c>
      <c r="AA31">
        <v>30</v>
      </c>
      <c r="AB31" s="3">
        <f t="shared" si="8"/>
        <v>4.9586776859504136</v>
      </c>
      <c r="AC31">
        <v>31</v>
      </c>
      <c r="AD31" s="3">
        <f t="shared" si="9"/>
        <v>5.1239669421487601</v>
      </c>
      <c r="AE31">
        <v>55</v>
      </c>
      <c r="AF31" s="3">
        <f t="shared" si="10"/>
        <v>9.0909090909090917</v>
      </c>
      <c r="AG31">
        <v>202</v>
      </c>
      <c r="AH31" s="3">
        <f t="shared" si="11"/>
        <v>33.388429752066116</v>
      </c>
      <c r="AI31">
        <v>31</v>
      </c>
      <c r="AJ31" s="3">
        <f t="shared" si="12"/>
        <v>5.1239669421487601</v>
      </c>
      <c r="AK31">
        <v>54</v>
      </c>
      <c r="AL31" s="3">
        <f t="shared" si="13"/>
        <v>8.9256198347107443</v>
      </c>
      <c r="AM31">
        <v>13</v>
      </c>
      <c r="AN31" s="3">
        <f t="shared" si="14"/>
        <v>2.1487603305785123</v>
      </c>
      <c r="AO31">
        <v>117</v>
      </c>
      <c r="AP31" s="3">
        <f t="shared" si="15"/>
        <v>19.33884297520661</v>
      </c>
      <c r="AQ31">
        <v>22</v>
      </c>
      <c r="AR31" s="3">
        <f t="shared" si="16"/>
        <v>3.6363636363636362</v>
      </c>
      <c r="AS31">
        <v>13</v>
      </c>
      <c r="AT31" s="3">
        <f t="shared" si="17"/>
        <v>2.1487603305785123</v>
      </c>
      <c r="AU31" t="s">
        <v>314</v>
      </c>
      <c r="AV31" s="72">
        <f>Дума_партии[[#This Row],[КОИБ]]</f>
        <v>2017</v>
      </c>
      <c r="AW31" s="1">
        <f>IF(Дума_партии[[#This Row],[Наблюдателей]]=0,"",Дума_партии[[#This Row],[Наблюдателей]])</f>
        <v>1</v>
      </c>
      <c r="AX31"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61.074792243767291</v>
      </c>
      <c r="AY31" s="10">
        <f>2*(Дума_одномандатный[[#This Row],[Майданов Денис Васильевич]]-(AC$203/100)*Дума_одномандатный[[#This Row],[Число действительных избирательных бюллетеней]])</f>
        <v>88.19199999999995</v>
      </c>
      <c r="AZ31" s="10">
        <f>(Дума_одномандатный[[#This Row],[Вброс]]+Дума_одномандатный[[#This Row],[Перекладывание]])/2</f>
        <v>74.633396121883621</v>
      </c>
    </row>
    <row r="32" spans="1:52" x14ac:dyDescent="0.4">
      <c r="A32" t="s">
        <v>49</v>
      </c>
      <c r="B32" t="s">
        <v>50</v>
      </c>
      <c r="C32" t="s">
        <v>51</v>
      </c>
      <c r="D32" t="s">
        <v>138</v>
      </c>
      <c r="E32" t="s">
        <v>160</v>
      </c>
      <c r="F32" s="1">
        <f t="shared" ca="1" si="2"/>
        <v>2064</v>
      </c>
      <c r="G32" s="8" t="str">
        <f>Дума_партии[[#This Row],[Местоположение]]</f>
        <v>Голицыно</v>
      </c>
      <c r="H32" s="2" t="str">
        <f>LEFT(Дума_одномандатный[[#This Row],[tik]],4)&amp;"."&amp;IF(ISNUMBER(VALUE(RIGHT(Дума_одномандатный[[#This Row],[tik]]))),RIGHT(Дума_одномандатный[[#This Row],[tik]]),"")</f>
        <v>Один.</v>
      </c>
      <c r="I32">
        <v>1121</v>
      </c>
      <c r="J32" s="8">
        <f>Дума_одномандатный[[#This Row],[Число избирателей, внесенных в список избирателей на момент окончания голосования]]</f>
        <v>1121</v>
      </c>
      <c r="K32">
        <v>1000</v>
      </c>
      <c r="L32">
        <v>0</v>
      </c>
      <c r="M32">
        <v>430</v>
      </c>
      <c r="N32">
        <v>34</v>
      </c>
      <c r="O32" s="3">
        <f t="shared" si="3"/>
        <v>41.391614629794823</v>
      </c>
      <c r="P32" s="3">
        <f t="shared" si="4"/>
        <v>3.0330062444246209</v>
      </c>
      <c r="Q32">
        <v>536</v>
      </c>
      <c r="R32">
        <v>34</v>
      </c>
      <c r="S32">
        <v>430</v>
      </c>
      <c r="T32" s="1">
        <f t="shared" si="5"/>
        <v>464</v>
      </c>
      <c r="U32" s="3">
        <f t="shared" si="6"/>
        <v>7.3275862068965516</v>
      </c>
      <c r="V32">
        <v>21</v>
      </c>
      <c r="W32" s="3">
        <f t="shared" si="7"/>
        <v>4.5258620689655169</v>
      </c>
      <c r="X32">
        <v>443</v>
      </c>
      <c r="Y32">
        <v>0</v>
      </c>
      <c r="Z32">
        <v>0</v>
      </c>
      <c r="AA32">
        <v>10</v>
      </c>
      <c r="AB32" s="3">
        <f t="shared" si="8"/>
        <v>2.1551724137931036</v>
      </c>
      <c r="AC32">
        <v>26</v>
      </c>
      <c r="AD32" s="3">
        <f t="shared" si="9"/>
        <v>5.6034482758620694</v>
      </c>
      <c r="AE32">
        <v>38</v>
      </c>
      <c r="AF32" s="3">
        <f t="shared" si="10"/>
        <v>8.1896551724137936</v>
      </c>
      <c r="AG32">
        <v>143</v>
      </c>
      <c r="AH32" s="3">
        <f t="shared" si="11"/>
        <v>30.818965517241381</v>
      </c>
      <c r="AI32">
        <v>34</v>
      </c>
      <c r="AJ32" s="3">
        <f t="shared" si="12"/>
        <v>7.3275862068965516</v>
      </c>
      <c r="AK32">
        <v>36</v>
      </c>
      <c r="AL32" s="3">
        <f t="shared" si="13"/>
        <v>7.7586206896551726</v>
      </c>
      <c r="AM32">
        <v>13</v>
      </c>
      <c r="AN32" s="3">
        <f t="shared" si="14"/>
        <v>2.8017241379310347</v>
      </c>
      <c r="AO32">
        <v>114</v>
      </c>
      <c r="AP32" s="3">
        <f t="shared" si="15"/>
        <v>24.568965517241381</v>
      </c>
      <c r="AQ32">
        <v>24</v>
      </c>
      <c r="AR32" s="3">
        <f t="shared" si="16"/>
        <v>5.1724137931034484</v>
      </c>
      <c r="AS32">
        <v>5</v>
      </c>
      <c r="AT32" s="3">
        <f t="shared" si="17"/>
        <v>1.0775862068965518</v>
      </c>
      <c r="AU32" t="s">
        <v>314</v>
      </c>
      <c r="AV32" s="72">
        <f>Дума_партии[[#This Row],[КОИБ]]</f>
        <v>2017</v>
      </c>
      <c r="AW32" s="1" t="str">
        <f>IF(Дума_партии[[#This Row],[Наблюдателей]]=0,"",Дума_партии[[#This Row],[Наблюдателей]])</f>
        <v/>
      </c>
      <c r="AX32"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27.487534626038766</v>
      </c>
      <c r="AY32" s="10">
        <f>2*(Дума_одномандатный[[#This Row],[Майданов Денис Васильевич]]-(AC$203/100)*Дума_одномандатный[[#This Row],[Число действительных избирательных бюллетеней]])</f>
        <v>39.691999999999979</v>
      </c>
      <c r="AZ32" s="10">
        <f>(Дума_одномандатный[[#This Row],[Вброс]]+Дума_одномандатный[[#This Row],[Перекладывание]])/2</f>
        <v>33.589767313019372</v>
      </c>
    </row>
    <row r="33" spans="1:52" x14ac:dyDescent="0.4">
      <c r="A33" t="s">
        <v>49</v>
      </c>
      <c r="B33" t="s">
        <v>50</v>
      </c>
      <c r="C33" t="s">
        <v>51</v>
      </c>
      <c r="D33" t="s">
        <v>138</v>
      </c>
      <c r="E33" t="s">
        <v>161</v>
      </c>
      <c r="F33" s="1">
        <f t="shared" ca="1" si="2"/>
        <v>2065</v>
      </c>
      <c r="G33" s="8" t="str">
        <f>Дума_партии[[#This Row],[Местоположение]]</f>
        <v>Голицыно</v>
      </c>
      <c r="H33" s="2" t="str">
        <f>LEFT(Дума_одномандатный[[#This Row],[tik]],4)&amp;"."&amp;IF(ISNUMBER(VALUE(RIGHT(Дума_одномандатный[[#This Row],[tik]]))),RIGHT(Дума_одномандатный[[#This Row],[tik]]),"")</f>
        <v>Один.</v>
      </c>
      <c r="I33">
        <v>2224</v>
      </c>
      <c r="J33" s="8">
        <f>Дума_одномандатный[[#This Row],[Число избирателей, внесенных в список избирателей на момент окончания голосования]]</f>
        <v>2224</v>
      </c>
      <c r="K33">
        <v>2000</v>
      </c>
      <c r="L33">
        <v>0</v>
      </c>
      <c r="M33">
        <v>641</v>
      </c>
      <c r="N33">
        <v>27</v>
      </c>
      <c r="O33" s="3">
        <f t="shared" si="3"/>
        <v>30.035971223021583</v>
      </c>
      <c r="P33" s="3">
        <f t="shared" si="4"/>
        <v>1.2140287769784173</v>
      </c>
      <c r="Q33">
        <v>1332</v>
      </c>
      <c r="R33">
        <v>27</v>
      </c>
      <c r="S33">
        <v>641</v>
      </c>
      <c r="T33" s="1">
        <f t="shared" si="5"/>
        <v>668</v>
      </c>
      <c r="U33" s="3">
        <f t="shared" si="6"/>
        <v>4.0419161676646711</v>
      </c>
      <c r="V33">
        <v>45</v>
      </c>
      <c r="W33" s="3">
        <f t="shared" si="7"/>
        <v>6.7365269461077846</v>
      </c>
      <c r="X33">
        <v>623</v>
      </c>
      <c r="Y33">
        <v>0</v>
      </c>
      <c r="Z33">
        <v>0</v>
      </c>
      <c r="AA33">
        <v>28</v>
      </c>
      <c r="AB33" s="3">
        <f t="shared" si="8"/>
        <v>4.1916167664670656</v>
      </c>
      <c r="AC33">
        <v>34</v>
      </c>
      <c r="AD33" s="3">
        <f t="shared" si="9"/>
        <v>5.0898203592814371</v>
      </c>
      <c r="AE33">
        <v>51</v>
      </c>
      <c r="AF33" s="3">
        <f t="shared" si="10"/>
        <v>7.634730538922156</v>
      </c>
      <c r="AG33">
        <v>200</v>
      </c>
      <c r="AH33" s="3">
        <f t="shared" si="11"/>
        <v>29.940119760479043</v>
      </c>
      <c r="AI33">
        <v>46</v>
      </c>
      <c r="AJ33" s="3">
        <f t="shared" si="12"/>
        <v>6.88622754491018</v>
      </c>
      <c r="AK33">
        <v>59</v>
      </c>
      <c r="AL33" s="3">
        <f t="shared" si="13"/>
        <v>8.8323353293413174</v>
      </c>
      <c r="AM33">
        <v>9</v>
      </c>
      <c r="AN33" s="3">
        <f t="shared" si="14"/>
        <v>1.347305389221557</v>
      </c>
      <c r="AO33">
        <v>155</v>
      </c>
      <c r="AP33" s="3">
        <f t="shared" si="15"/>
        <v>23.203592814371259</v>
      </c>
      <c r="AQ33">
        <v>31</v>
      </c>
      <c r="AR33" s="3">
        <f t="shared" si="16"/>
        <v>4.6407185628742518</v>
      </c>
      <c r="AS33">
        <v>10</v>
      </c>
      <c r="AT33" s="3">
        <f t="shared" si="17"/>
        <v>1.4970059880239521</v>
      </c>
      <c r="AU33" t="s">
        <v>314</v>
      </c>
      <c r="AV33" s="72">
        <f>Дума_партии[[#This Row],[КОИБ]]</f>
        <v>2017</v>
      </c>
      <c r="AW33" s="1" t="str">
        <f>IF(Дума_партии[[#This Row],[Наблюдателей]]=0,"",Дума_партии[[#This Row],[Наблюдателей]])</f>
        <v/>
      </c>
      <c r="AX33"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37.127423822714661</v>
      </c>
      <c r="AY33" s="10">
        <f>2*(Дума_одномандатный[[#This Row],[Майданов Денис Васильевич]]-(AC$203/100)*Дума_одномандатный[[#This Row],[Число действительных избирательных бюллетеней]])</f>
        <v>53.611999999999966</v>
      </c>
      <c r="AZ33" s="10">
        <f>(Дума_одномандатный[[#This Row],[Вброс]]+Дума_одномандатный[[#This Row],[Перекладывание]])/2</f>
        <v>45.369711911357314</v>
      </c>
    </row>
    <row r="34" spans="1:52" x14ac:dyDescent="0.4">
      <c r="A34" t="s">
        <v>49</v>
      </c>
      <c r="B34" t="s">
        <v>50</v>
      </c>
      <c r="C34" t="s">
        <v>51</v>
      </c>
      <c r="D34" t="s">
        <v>138</v>
      </c>
      <c r="E34" t="s">
        <v>162</v>
      </c>
      <c r="F34" s="1">
        <f t="shared" ca="1" si="2"/>
        <v>2067</v>
      </c>
      <c r="G34" s="8" t="str">
        <f>Дума_партии[[#This Row],[Местоположение]]</f>
        <v>Голицыно</v>
      </c>
      <c r="H34" s="2" t="str">
        <f>LEFT(Дума_одномандатный[[#This Row],[tik]],4)&amp;"."&amp;IF(ISNUMBER(VALUE(RIGHT(Дума_одномандатный[[#This Row],[tik]]))),RIGHT(Дума_одномандатный[[#This Row],[tik]]),"")</f>
        <v>Один.</v>
      </c>
      <c r="I34">
        <v>1296</v>
      </c>
      <c r="J34" s="8">
        <f>Дума_одномандатный[[#This Row],[Число избирателей, внесенных в список избирателей на момент окончания голосования]]</f>
        <v>1296</v>
      </c>
      <c r="K34">
        <v>1000</v>
      </c>
      <c r="L34">
        <v>0</v>
      </c>
      <c r="M34">
        <v>329</v>
      </c>
      <c r="N34">
        <v>161</v>
      </c>
      <c r="O34" s="3">
        <f t="shared" si="3"/>
        <v>37.808641975308639</v>
      </c>
      <c r="P34" s="3">
        <f t="shared" si="4"/>
        <v>12.42283950617284</v>
      </c>
      <c r="Q34">
        <v>510</v>
      </c>
      <c r="R34">
        <v>161</v>
      </c>
      <c r="S34">
        <v>328</v>
      </c>
      <c r="T34" s="1">
        <f t="shared" si="5"/>
        <v>489</v>
      </c>
      <c r="U34" s="3">
        <f t="shared" si="6"/>
        <v>32.924335378323107</v>
      </c>
      <c r="V34">
        <v>13</v>
      </c>
      <c r="W34" s="3">
        <f t="shared" si="7"/>
        <v>2.6584867075664622</v>
      </c>
      <c r="X34">
        <v>476</v>
      </c>
      <c r="Y34">
        <v>0</v>
      </c>
      <c r="Z34">
        <v>0</v>
      </c>
      <c r="AA34">
        <v>14</v>
      </c>
      <c r="AB34" s="3">
        <f t="shared" si="8"/>
        <v>2.8629856850715747</v>
      </c>
      <c r="AC34">
        <v>22</v>
      </c>
      <c r="AD34" s="3">
        <f t="shared" si="9"/>
        <v>4.4989775051124745</v>
      </c>
      <c r="AE34">
        <v>39</v>
      </c>
      <c r="AF34" s="3">
        <f t="shared" si="10"/>
        <v>7.9754601226993866</v>
      </c>
      <c r="AG34">
        <v>240</v>
      </c>
      <c r="AH34" s="3">
        <f t="shared" si="11"/>
        <v>49.079754601226995</v>
      </c>
      <c r="AI34">
        <v>26</v>
      </c>
      <c r="AJ34" s="3">
        <f t="shared" si="12"/>
        <v>5.3169734151329244</v>
      </c>
      <c r="AK34">
        <v>19</v>
      </c>
      <c r="AL34" s="3">
        <f t="shared" si="13"/>
        <v>3.8854805725971371</v>
      </c>
      <c r="AM34">
        <v>3</v>
      </c>
      <c r="AN34" s="3">
        <f t="shared" si="14"/>
        <v>0.61349693251533743</v>
      </c>
      <c r="AO34">
        <v>89</v>
      </c>
      <c r="AP34" s="3">
        <f t="shared" si="15"/>
        <v>18.200408997955009</v>
      </c>
      <c r="AQ34">
        <v>15</v>
      </c>
      <c r="AR34" s="3">
        <f t="shared" si="16"/>
        <v>3.0674846625766872</v>
      </c>
      <c r="AS34">
        <v>9</v>
      </c>
      <c r="AT34" s="3">
        <f t="shared" si="17"/>
        <v>1.8404907975460123</v>
      </c>
      <c r="AU34" t="s">
        <v>314</v>
      </c>
      <c r="AV34" s="72">
        <f>Дума_партии[[#This Row],[КОИБ]]</f>
        <v>2017</v>
      </c>
      <c r="AW34" s="1" t="str">
        <f>IF(Дума_партии[[#This Row],[Наблюдателей]]=0,"",Дума_партии[[#This Row],[Наблюдателей]])</f>
        <v/>
      </c>
      <c r="AX34"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149.13019390581718</v>
      </c>
      <c r="AY34" s="10">
        <f>2*(Дума_одномандатный[[#This Row],[Майданов Денис Васильевич]]-(AC$203/100)*Дума_одномандатный[[#This Row],[Число действительных избирательных бюллетеней]])</f>
        <v>215.34399999999999</v>
      </c>
      <c r="AZ34" s="10">
        <f>(Дума_одномандатный[[#This Row],[Вброс]]+Дума_одномандатный[[#This Row],[Перекладывание]])/2</f>
        <v>182.23709695290859</v>
      </c>
    </row>
    <row r="35" spans="1:52" x14ac:dyDescent="0.4">
      <c r="A35" t="s">
        <v>49</v>
      </c>
      <c r="B35" t="s">
        <v>50</v>
      </c>
      <c r="C35" t="s">
        <v>51</v>
      </c>
      <c r="D35" t="s">
        <v>138</v>
      </c>
      <c r="E35" t="s">
        <v>163</v>
      </c>
      <c r="F35" s="1">
        <f t="shared" ref="F35:F66" ca="1" si="18">SUMPRODUCT(MID(0&amp;E35, LARGE(INDEX(ISNUMBER(--MID(E35, ROW(INDIRECT("1:"&amp;LEN(E35))), 1)) * ROW(INDIRECT("1:"&amp;LEN(E35))), 0), ROW(INDIRECT("1:"&amp;LEN(E35))))+1, 1) * 10^ROW(INDIRECT("1:"&amp;LEN(E35)))/10)</f>
        <v>2068</v>
      </c>
      <c r="G35" s="8" t="str">
        <f>Дума_партии[[#This Row],[Местоположение]]</f>
        <v>Голицыно</v>
      </c>
      <c r="H35" s="2" t="str">
        <f>LEFT(Дума_одномандатный[[#This Row],[tik]],4)&amp;"."&amp;IF(ISNUMBER(VALUE(RIGHT(Дума_одномандатный[[#This Row],[tik]]))),RIGHT(Дума_одномандатный[[#This Row],[tik]]),"")</f>
        <v>Один.</v>
      </c>
      <c r="I35">
        <v>571</v>
      </c>
      <c r="J35" s="8">
        <f>Дума_одномандатный[[#This Row],[Число избирателей, внесенных в список избирателей на момент окончания голосования]]</f>
        <v>571</v>
      </c>
      <c r="K35">
        <v>750</v>
      </c>
      <c r="L35">
        <v>0</v>
      </c>
      <c r="M35">
        <v>282</v>
      </c>
      <c r="N35">
        <v>262</v>
      </c>
      <c r="O35" s="3">
        <f t="shared" ref="O35:O66" si="19">100*(M35+N35)/I35</f>
        <v>95.27145359019265</v>
      </c>
      <c r="P35" s="3">
        <f t="shared" ref="P35:P66" si="20">100*N35/I35</f>
        <v>45.884413309982484</v>
      </c>
      <c r="Q35">
        <v>206</v>
      </c>
      <c r="R35">
        <v>261</v>
      </c>
      <c r="S35">
        <v>282</v>
      </c>
      <c r="T35" s="1">
        <f t="shared" ref="T35:T66" si="21">R35+S35</f>
        <v>543</v>
      </c>
      <c r="U35" s="3">
        <f t="shared" ref="U35:U66" si="22">100*R35/T35</f>
        <v>48.066298342541437</v>
      </c>
      <c r="V35">
        <v>53</v>
      </c>
      <c r="W35" s="3">
        <f t="shared" ref="W35:W66" si="23">100*V35/T35</f>
        <v>9.7605893186003687</v>
      </c>
      <c r="X35">
        <v>490</v>
      </c>
      <c r="Y35">
        <v>0</v>
      </c>
      <c r="Z35">
        <v>0</v>
      </c>
      <c r="AA35">
        <v>15</v>
      </c>
      <c r="AB35" s="3">
        <f t="shared" ref="AB35:AB66" si="24">100*AA35/$T35</f>
        <v>2.7624309392265194</v>
      </c>
      <c r="AC35">
        <v>31</v>
      </c>
      <c r="AD35" s="3">
        <f t="shared" ref="AD35:AD66" si="25">100*AC35/$T35</f>
        <v>5.70902394106814</v>
      </c>
      <c r="AE35">
        <v>37</v>
      </c>
      <c r="AF35" s="3">
        <f t="shared" ref="AF35:AF66" si="26">100*AE35/$T35</f>
        <v>6.8139963167587476</v>
      </c>
      <c r="AG35">
        <v>185</v>
      </c>
      <c r="AH35" s="3">
        <f t="shared" ref="AH35:AH66" si="27">100*AG35/$T35</f>
        <v>34.069981583793741</v>
      </c>
      <c r="AI35">
        <v>46</v>
      </c>
      <c r="AJ35" s="3">
        <f t="shared" ref="AJ35:AJ66" si="28">100*AI35/$T35</f>
        <v>8.4714548802946599</v>
      </c>
      <c r="AK35">
        <v>49</v>
      </c>
      <c r="AL35" s="3">
        <f t="shared" ref="AL35:AL66" si="29">100*AK35/$T35</f>
        <v>9.0239410681399637</v>
      </c>
      <c r="AM35">
        <v>15</v>
      </c>
      <c r="AN35" s="3">
        <f t="shared" ref="AN35:AN66" si="30">100*AM35/$T35</f>
        <v>2.7624309392265194</v>
      </c>
      <c r="AO35">
        <v>86</v>
      </c>
      <c r="AP35" s="3">
        <f t="shared" ref="AP35:AP66" si="31">100*AO35/$T35</f>
        <v>15.83793738489871</v>
      </c>
      <c r="AQ35">
        <v>16</v>
      </c>
      <c r="AR35" s="3">
        <f t="shared" ref="AR35:AR66" si="32">100*AQ35/$T35</f>
        <v>2.9465930018416207</v>
      </c>
      <c r="AS35">
        <v>10</v>
      </c>
      <c r="AT35" s="3">
        <f t="shared" ref="AT35:AT66" si="33">100*AS35/$T35</f>
        <v>1.8416206261510129</v>
      </c>
      <c r="AU35" t="s">
        <v>314</v>
      </c>
      <c r="AV35" s="72">
        <f>Дума_партии[[#This Row],[КОИБ]]</f>
        <v>2017</v>
      </c>
      <c r="AW35" s="1" t="str">
        <f>IF(Дума_партии[[#This Row],[Наблюдателей]]=0,"",Дума_партии[[#This Row],[Наблюдателей]])</f>
        <v/>
      </c>
      <c r="AX35"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67.562326869806085</v>
      </c>
      <c r="AY35" s="10">
        <f>2*(Дума_одномандатный[[#This Row],[Майданов Денис Васильевич]]-(AC$203/100)*Дума_одномандатный[[#This Row],[Число действительных избирательных бюллетеней]])</f>
        <v>97.56</v>
      </c>
      <c r="AZ35" s="10">
        <f>(Дума_одномандатный[[#This Row],[Вброс]]+Дума_одномандатный[[#This Row],[Перекладывание]])/2</f>
        <v>82.561163434903051</v>
      </c>
    </row>
    <row r="36" spans="1:52" x14ac:dyDescent="0.4">
      <c r="A36" t="s">
        <v>49</v>
      </c>
      <c r="B36" t="s">
        <v>50</v>
      </c>
      <c r="C36" t="s">
        <v>51</v>
      </c>
      <c r="D36" t="s">
        <v>138</v>
      </c>
      <c r="E36" t="s">
        <v>164</v>
      </c>
      <c r="F36" s="1">
        <f t="shared" ca="1" si="18"/>
        <v>2069</v>
      </c>
      <c r="G36" s="8" t="str">
        <f>Дума_партии[[#This Row],[Местоположение]]</f>
        <v>пос. НИИ Радио</v>
      </c>
      <c r="H36" s="2" t="str">
        <f>LEFT(Дума_одномандатный[[#This Row],[tik]],4)&amp;"."&amp;IF(ISNUMBER(VALUE(RIGHT(Дума_одномандатный[[#This Row],[tik]]))),RIGHT(Дума_одномандатный[[#This Row],[tik]]),"")</f>
        <v>Один.</v>
      </c>
      <c r="I36">
        <v>965</v>
      </c>
      <c r="J36" s="8">
        <f>Дума_одномандатный[[#This Row],[Число избирателей, внесенных в список избирателей на момент окончания голосования]]</f>
        <v>965</v>
      </c>
      <c r="K36">
        <v>850</v>
      </c>
      <c r="L36">
        <v>0</v>
      </c>
      <c r="M36">
        <v>278</v>
      </c>
      <c r="N36">
        <v>141</v>
      </c>
      <c r="O36" s="3">
        <f t="shared" si="19"/>
        <v>43.419689119170982</v>
      </c>
      <c r="P36" s="3">
        <f t="shared" si="20"/>
        <v>14.61139896373057</v>
      </c>
      <c r="Q36">
        <v>431</v>
      </c>
      <c r="R36">
        <v>141</v>
      </c>
      <c r="S36">
        <v>278</v>
      </c>
      <c r="T36" s="1">
        <f t="shared" si="21"/>
        <v>419</v>
      </c>
      <c r="U36" s="3">
        <f t="shared" si="22"/>
        <v>33.651551312649161</v>
      </c>
      <c r="V36">
        <v>4</v>
      </c>
      <c r="W36" s="3">
        <f t="shared" si="23"/>
        <v>0.95465393794749398</v>
      </c>
      <c r="X36">
        <v>415</v>
      </c>
      <c r="Y36">
        <v>0</v>
      </c>
      <c r="Z36">
        <v>0</v>
      </c>
      <c r="AA36">
        <v>10</v>
      </c>
      <c r="AB36" s="3">
        <f t="shared" si="24"/>
        <v>2.3866348448687349</v>
      </c>
      <c r="AC36">
        <v>19</v>
      </c>
      <c r="AD36" s="3">
        <f t="shared" si="25"/>
        <v>4.5346062052505971</v>
      </c>
      <c r="AE36">
        <v>15</v>
      </c>
      <c r="AF36" s="3">
        <f t="shared" si="26"/>
        <v>3.5799522673031028</v>
      </c>
      <c r="AG36">
        <v>269</v>
      </c>
      <c r="AH36" s="3">
        <f t="shared" si="27"/>
        <v>64.200477326968979</v>
      </c>
      <c r="AI36">
        <v>12</v>
      </c>
      <c r="AJ36" s="3">
        <f t="shared" si="28"/>
        <v>2.8639618138424821</v>
      </c>
      <c r="AK36">
        <v>19</v>
      </c>
      <c r="AL36" s="3">
        <f t="shared" si="29"/>
        <v>4.5346062052505971</v>
      </c>
      <c r="AM36">
        <v>4</v>
      </c>
      <c r="AN36" s="3">
        <f t="shared" si="30"/>
        <v>0.95465393794749398</v>
      </c>
      <c r="AO36">
        <v>53</v>
      </c>
      <c r="AP36" s="3">
        <f t="shared" si="31"/>
        <v>12.649164677804295</v>
      </c>
      <c r="AQ36">
        <v>6</v>
      </c>
      <c r="AR36" s="3">
        <f t="shared" si="32"/>
        <v>1.431980906921241</v>
      </c>
      <c r="AS36">
        <v>8</v>
      </c>
      <c r="AT36" s="3">
        <f t="shared" si="33"/>
        <v>1.909307875894988</v>
      </c>
      <c r="AU36" t="s">
        <v>314</v>
      </c>
      <c r="AV36" s="72" t="str">
        <f>Дума_партии[[#This Row],[КОИБ]]</f>
        <v>N</v>
      </c>
      <c r="AW36" s="1" t="str">
        <f>IF(Дума_партии[[#This Row],[Наблюдателей]]=0,"",Дума_партии[[#This Row],[Наблюдателей]])</f>
        <v/>
      </c>
      <c r="AX36"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212.78393351800554</v>
      </c>
      <c r="AY36" s="10">
        <f>2*(Дума_одномандатный[[#This Row],[Майданов Денис Васильевич]]-(AC$203/100)*Дума_одномандатный[[#This Row],[Число действительных избирательных бюллетеней]])</f>
        <v>307.26</v>
      </c>
      <c r="AZ36" s="10">
        <f>(Дума_одномандатный[[#This Row],[Вброс]]+Дума_одномандатный[[#This Row],[Перекладывание]])/2</f>
        <v>260.02196675900279</v>
      </c>
    </row>
    <row r="37" spans="1:52" x14ac:dyDescent="0.4">
      <c r="A37" t="s">
        <v>49</v>
      </c>
      <c r="B37" t="s">
        <v>50</v>
      </c>
      <c r="C37" t="s">
        <v>51</v>
      </c>
      <c r="D37" t="s">
        <v>138</v>
      </c>
      <c r="E37" t="s">
        <v>165</v>
      </c>
      <c r="F37" s="1">
        <f t="shared" ca="1" si="18"/>
        <v>2074</v>
      </c>
      <c r="G37" s="8" t="str">
        <f>Дума_партии[[#This Row],[Местоположение]]</f>
        <v>Горки-2</v>
      </c>
      <c r="H37" s="2" t="str">
        <f>LEFT(Дума_одномандатный[[#This Row],[tik]],4)&amp;"."&amp;IF(ISNUMBER(VALUE(RIGHT(Дума_одномандатный[[#This Row],[tik]]))),RIGHT(Дума_одномандатный[[#This Row],[tik]]),"")</f>
        <v>Один.</v>
      </c>
      <c r="I37">
        <v>2625</v>
      </c>
      <c r="J37" s="8">
        <f>Дума_одномандатный[[#This Row],[Число избирателей, внесенных в список избирателей на момент окончания голосования]]</f>
        <v>2625</v>
      </c>
      <c r="K37">
        <v>2000</v>
      </c>
      <c r="L37">
        <v>0</v>
      </c>
      <c r="M37">
        <v>909</v>
      </c>
      <c r="N37">
        <v>665</v>
      </c>
      <c r="O37" s="3">
        <f t="shared" si="19"/>
        <v>59.961904761904762</v>
      </c>
      <c r="P37" s="3">
        <f t="shared" si="20"/>
        <v>25.333333333333332</v>
      </c>
      <c r="Q37">
        <v>426</v>
      </c>
      <c r="R37">
        <v>665</v>
      </c>
      <c r="S37">
        <v>909</v>
      </c>
      <c r="T37" s="1">
        <f t="shared" si="21"/>
        <v>1574</v>
      </c>
      <c r="U37" s="3">
        <f t="shared" si="22"/>
        <v>42.249047013977126</v>
      </c>
      <c r="V37">
        <v>48</v>
      </c>
      <c r="W37" s="3">
        <f t="shared" si="23"/>
        <v>3.0495552731893265</v>
      </c>
      <c r="X37">
        <v>1526</v>
      </c>
      <c r="Y37">
        <v>0</v>
      </c>
      <c r="Z37">
        <v>0</v>
      </c>
      <c r="AA37">
        <v>27</v>
      </c>
      <c r="AB37" s="3">
        <f t="shared" si="24"/>
        <v>1.7153748411689962</v>
      </c>
      <c r="AC37">
        <v>59</v>
      </c>
      <c r="AD37" s="3">
        <f t="shared" si="25"/>
        <v>3.7484116899618805</v>
      </c>
      <c r="AE37">
        <v>64</v>
      </c>
      <c r="AF37" s="3">
        <f t="shared" si="26"/>
        <v>4.066073697585769</v>
      </c>
      <c r="AG37">
        <v>923</v>
      </c>
      <c r="AH37" s="3">
        <f t="shared" si="27"/>
        <v>58.640406607369762</v>
      </c>
      <c r="AI37">
        <v>66</v>
      </c>
      <c r="AJ37" s="3">
        <f t="shared" si="28"/>
        <v>4.1931385006353237</v>
      </c>
      <c r="AK37">
        <v>75</v>
      </c>
      <c r="AL37" s="3">
        <f t="shared" si="29"/>
        <v>4.7649301143583225</v>
      </c>
      <c r="AM37">
        <v>21</v>
      </c>
      <c r="AN37" s="3">
        <f t="shared" si="30"/>
        <v>1.3341804320203303</v>
      </c>
      <c r="AO37">
        <v>227</v>
      </c>
      <c r="AP37" s="3">
        <f t="shared" si="31"/>
        <v>14.421855146124523</v>
      </c>
      <c r="AQ37">
        <v>43</v>
      </c>
      <c r="AR37" s="3">
        <f t="shared" si="32"/>
        <v>2.7318932655654384</v>
      </c>
      <c r="AS37">
        <v>21</v>
      </c>
      <c r="AT37" s="3">
        <f t="shared" si="33"/>
        <v>1.3341804320203303</v>
      </c>
      <c r="AU37" t="s">
        <v>314</v>
      </c>
      <c r="AV37" s="72">
        <f>Дума_партии[[#This Row],[КОИБ]]</f>
        <v>2017</v>
      </c>
      <c r="AW37" s="1" t="str">
        <f>IF(Дума_партии[[#This Row],[Наблюдателей]]=0,"",Дума_партии[[#This Row],[Наблюдателей]])</f>
        <v/>
      </c>
      <c r="AX37"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690.81994459833788</v>
      </c>
      <c r="AY37" s="10">
        <f>2*(Дума_одномандатный[[#This Row],[Майданов Денис Васильевич]]-(AC$203/100)*Дума_одномандатный[[#This Row],[Число действительных избирательных бюллетеней]])</f>
        <v>997.54399999999987</v>
      </c>
      <c r="AZ37" s="10">
        <f>(Дума_одномандатный[[#This Row],[Вброс]]+Дума_одномандатный[[#This Row],[Перекладывание]])/2</f>
        <v>844.18197229916882</v>
      </c>
    </row>
    <row r="38" spans="1:52" x14ac:dyDescent="0.4">
      <c r="A38" t="s">
        <v>49</v>
      </c>
      <c r="B38" t="s">
        <v>50</v>
      </c>
      <c r="C38" t="s">
        <v>51</v>
      </c>
      <c r="D38" t="s">
        <v>138</v>
      </c>
      <c r="E38" t="s">
        <v>166</v>
      </c>
      <c r="F38" s="1">
        <f t="shared" ca="1" si="18"/>
        <v>3605</v>
      </c>
      <c r="G38" s="8" t="str">
        <f>Дума_партии[[#This Row],[Местоположение]]</f>
        <v>Назарьево</v>
      </c>
      <c r="H38" s="2" t="str">
        <f>LEFT(Дума_одномандатный[[#This Row],[tik]],4)&amp;"."&amp;IF(ISNUMBER(VALUE(RIGHT(Дума_одномандатный[[#This Row],[tik]]))),RIGHT(Дума_одномандатный[[#This Row],[tik]]),"")</f>
        <v>Один.</v>
      </c>
      <c r="I38">
        <v>1659</v>
      </c>
      <c r="J38" s="8">
        <f>Дума_одномандатный[[#This Row],[Число избирателей, внесенных в список избирателей на момент окончания голосования]]</f>
        <v>1659</v>
      </c>
      <c r="K38">
        <v>1500</v>
      </c>
      <c r="L38">
        <v>0</v>
      </c>
      <c r="M38">
        <v>1087</v>
      </c>
      <c r="N38">
        <v>255</v>
      </c>
      <c r="O38" s="3">
        <f t="shared" si="19"/>
        <v>80.892103676913806</v>
      </c>
      <c r="P38" s="3">
        <f t="shared" si="20"/>
        <v>15.370705244122966</v>
      </c>
      <c r="Q38">
        <v>158</v>
      </c>
      <c r="R38">
        <v>255</v>
      </c>
      <c r="S38">
        <v>1087</v>
      </c>
      <c r="T38" s="1">
        <f t="shared" si="21"/>
        <v>1342</v>
      </c>
      <c r="U38" s="3">
        <f t="shared" si="22"/>
        <v>19.001490312965721</v>
      </c>
      <c r="V38">
        <v>0</v>
      </c>
      <c r="W38" s="3">
        <f t="shared" si="23"/>
        <v>0</v>
      </c>
      <c r="X38">
        <v>1342</v>
      </c>
      <c r="Y38">
        <v>0</v>
      </c>
      <c r="Z38">
        <v>0</v>
      </c>
      <c r="AA38">
        <v>31</v>
      </c>
      <c r="AB38" s="3">
        <f t="shared" si="24"/>
        <v>2.3099850968703426</v>
      </c>
      <c r="AC38">
        <v>13</v>
      </c>
      <c r="AD38" s="3">
        <f t="shared" si="25"/>
        <v>0.96870342771982121</v>
      </c>
      <c r="AE38">
        <v>0</v>
      </c>
      <c r="AF38" s="3">
        <f t="shared" si="26"/>
        <v>0</v>
      </c>
      <c r="AG38">
        <v>1021</v>
      </c>
      <c r="AH38" s="3">
        <f t="shared" si="27"/>
        <v>76.080476900149037</v>
      </c>
      <c r="AI38">
        <v>0</v>
      </c>
      <c r="AJ38" s="3">
        <f t="shared" si="28"/>
        <v>0</v>
      </c>
      <c r="AK38">
        <v>1</v>
      </c>
      <c r="AL38" s="3">
        <f t="shared" si="29"/>
        <v>7.4515648286140088E-2</v>
      </c>
      <c r="AM38">
        <v>39</v>
      </c>
      <c r="AN38" s="3">
        <f t="shared" si="30"/>
        <v>2.9061102831594634</v>
      </c>
      <c r="AO38">
        <v>151</v>
      </c>
      <c r="AP38" s="3">
        <f t="shared" si="31"/>
        <v>11.251862891207153</v>
      </c>
      <c r="AQ38">
        <v>54</v>
      </c>
      <c r="AR38" s="3">
        <f t="shared" si="32"/>
        <v>4.0238450074515653</v>
      </c>
      <c r="AS38">
        <v>32</v>
      </c>
      <c r="AT38" s="3">
        <f t="shared" si="33"/>
        <v>2.3845007451564828</v>
      </c>
      <c r="AU38" t="s">
        <v>314</v>
      </c>
      <c r="AV38" s="72" t="str">
        <f>Дума_партии[[#This Row],[КОИБ]]</f>
        <v>N</v>
      </c>
      <c r="AW38" s="1" t="str">
        <f>IF(Дума_партии[[#This Row],[Наблюдателей]]=0,"",Дума_партии[[#This Row],[Наблюдателей]])</f>
        <v/>
      </c>
      <c r="AX38"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897.40166204986144</v>
      </c>
      <c r="AY38" s="10">
        <f>2*(Дума_одномандатный[[#This Row],[Майданов Денис Васильевич]]-(AC$203/100)*Дума_одномандатный[[#This Row],[Число действительных избирательных бюллетеней]])</f>
        <v>1295.848</v>
      </c>
      <c r="AZ38" s="10">
        <f>(Дума_одномандатный[[#This Row],[Вброс]]+Дума_одномандатный[[#This Row],[Перекладывание]])/2</f>
        <v>1096.6248310249307</v>
      </c>
    </row>
    <row r="39" spans="1:52" x14ac:dyDescent="0.4">
      <c r="A39" t="s">
        <v>49</v>
      </c>
      <c r="B39" t="s">
        <v>50</v>
      </c>
      <c r="C39" t="s">
        <v>51</v>
      </c>
      <c r="D39" t="s">
        <v>138</v>
      </c>
      <c r="E39" t="s">
        <v>167</v>
      </c>
      <c r="F39" s="1">
        <f t="shared" ca="1" si="18"/>
        <v>3606</v>
      </c>
      <c r="G39" s="8" t="str">
        <f>Дума_партии[[#This Row],[Местоположение]]</f>
        <v>Назарьево</v>
      </c>
      <c r="H39" s="2" t="str">
        <f>LEFT(Дума_одномандатный[[#This Row],[tik]],4)&amp;"."&amp;IF(ISNUMBER(VALUE(RIGHT(Дума_одномандатный[[#This Row],[tik]]))),RIGHT(Дума_одномандатный[[#This Row],[tik]]),"")</f>
        <v>Один.</v>
      </c>
      <c r="I39">
        <v>1916</v>
      </c>
      <c r="J39" s="8">
        <f>Дума_одномандатный[[#This Row],[Число избирателей, внесенных в список избирателей на момент окончания голосования]]</f>
        <v>1916</v>
      </c>
      <c r="K39">
        <v>1500</v>
      </c>
      <c r="L39">
        <v>0</v>
      </c>
      <c r="M39">
        <v>529</v>
      </c>
      <c r="N39">
        <v>197</v>
      </c>
      <c r="O39" s="3">
        <f t="shared" si="19"/>
        <v>37.891440501043839</v>
      </c>
      <c r="P39" s="3">
        <f t="shared" si="20"/>
        <v>10.281837160751566</v>
      </c>
      <c r="Q39">
        <v>774</v>
      </c>
      <c r="R39">
        <v>197</v>
      </c>
      <c r="S39">
        <v>529</v>
      </c>
      <c r="T39" s="1">
        <f t="shared" si="21"/>
        <v>726</v>
      </c>
      <c r="U39" s="3">
        <f t="shared" si="22"/>
        <v>27.134986225895318</v>
      </c>
      <c r="V39">
        <v>28</v>
      </c>
      <c r="W39" s="3">
        <f t="shared" si="23"/>
        <v>3.8567493112947657</v>
      </c>
      <c r="X39">
        <v>698</v>
      </c>
      <c r="Y39">
        <v>0</v>
      </c>
      <c r="Z39">
        <v>0</v>
      </c>
      <c r="AA39">
        <v>19</v>
      </c>
      <c r="AB39" s="3">
        <f t="shared" si="24"/>
        <v>2.6170798898071626</v>
      </c>
      <c r="AC39">
        <v>22</v>
      </c>
      <c r="AD39" s="3">
        <f t="shared" si="25"/>
        <v>3.0303030303030303</v>
      </c>
      <c r="AE39">
        <v>22</v>
      </c>
      <c r="AF39" s="3">
        <f t="shared" si="26"/>
        <v>3.0303030303030303</v>
      </c>
      <c r="AG39">
        <v>398</v>
      </c>
      <c r="AH39" s="3">
        <f t="shared" si="27"/>
        <v>54.820936639118457</v>
      </c>
      <c r="AI39">
        <v>23</v>
      </c>
      <c r="AJ39" s="3">
        <f t="shared" si="28"/>
        <v>3.168044077134986</v>
      </c>
      <c r="AK39">
        <v>30</v>
      </c>
      <c r="AL39" s="3">
        <f t="shared" si="29"/>
        <v>4.1322314049586772</v>
      </c>
      <c r="AM39">
        <v>12</v>
      </c>
      <c r="AN39" s="3">
        <f t="shared" si="30"/>
        <v>1.6528925619834711</v>
      </c>
      <c r="AO39">
        <v>140</v>
      </c>
      <c r="AP39" s="3">
        <f t="shared" si="31"/>
        <v>19.28374655647383</v>
      </c>
      <c r="AQ39">
        <v>19</v>
      </c>
      <c r="AR39" s="3">
        <f t="shared" si="32"/>
        <v>2.6170798898071626</v>
      </c>
      <c r="AS39">
        <v>13</v>
      </c>
      <c r="AT39" s="3">
        <f t="shared" si="33"/>
        <v>1.7906336088154271</v>
      </c>
      <c r="AU39" t="s">
        <v>314</v>
      </c>
      <c r="AV39" s="72" t="str">
        <f>Дума_партии[[#This Row],[КОИБ]]</f>
        <v>N</v>
      </c>
      <c r="AW39" s="1" t="str">
        <f>IF(Дума_партии[[#This Row],[Наблюдателей]]=0,"",Дума_партии[[#This Row],[Наблюдателей]])</f>
        <v/>
      </c>
      <c r="AX39"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282.48753462603878</v>
      </c>
      <c r="AY39" s="10">
        <f>2*(Дума_одномандатный[[#This Row],[Майданов Денис Васильевич]]-(AC$203/100)*Дума_одномандатный[[#This Row],[Число действительных избирательных бюллетеней]])</f>
        <v>407.91199999999998</v>
      </c>
      <c r="AZ39" s="10">
        <f>(Дума_одномандатный[[#This Row],[Вброс]]+Дума_одномандатный[[#This Row],[Перекладывание]])/2</f>
        <v>345.19976731301938</v>
      </c>
    </row>
    <row r="40" spans="1:52" x14ac:dyDescent="0.4">
      <c r="A40" t="s">
        <v>49</v>
      </c>
      <c r="B40" t="s">
        <v>50</v>
      </c>
      <c r="C40" t="s">
        <v>51</v>
      </c>
      <c r="D40" t="s">
        <v>138</v>
      </c>
      <c r="E40" t="s">
        <v>168</v>
      </c>
      <c r="F40" s="1">
        <f t="shared" ca="1" si="18"/>
        <v>3766</v>
      </c>
      <c r="G40" s="8" t="str">
        <f>Дума_партии[[#This Row],[Местоположение]]</f>
        <v>Звенигород</v>
      </c>
      <c r="H40" s="2" t="str">
        <f>LEFT(Дума_одномандатный[[#This Row],[tik]],4)&amp;"."&amp;IF(ISNUMBER(VALUE(RIGHT(Дума_одномандатный[[#This Row],[tik]]))),RIGHT(Дума_одномандатный[[#This Row],[tik]]),"")</f>
        <v>Один.</v>
      </c>
      <c r="I40">
        <v>857</v>
      </c>
      <c r="J40" s="8">
        <f>Дума_одномандатный[[#This Row],[Число избирателей, внесенных в список избирателей на момент окончания голосования]]</f>
        <v>857</v>
      </c>
      <c r="K40">
        <v>800</v>
      </c>
      <c r="L40">
        <v>0</v>
      </c>
      <c r="M40">
        <v>307</v>
      </c>
      <c r="N40">
        <v>40</v>
      </c>
      <c r="O40" s="3">
        <f t="shared" si="19"/>
        <v>40.490081680280049</v>
      </c>
      <c r="P40" s="3">
        <f t="shared" si="20"/>
        <v>4.6674445740956827</v>
      </c>
      <c r="Q40">
        <v>453</v>
      </c>
      <c r="R40">
        <v>40</v>
      </c>
      <c r="S40">
        <v>307</v>
      </c>
      <c r="T40" s="1">
        <f t="shared" si="21"/>
        <v>347</v>
      </c>
      <c r="U40" s="3">
        <f t="shared" si="22"/>
        <v>11.527377521613833</v>
      </c>
      <c r="V40">
        <v>27</v>
      </c>
      <c r="W40" s="3">
        <f t="shared" si="23"/>
        <v>7.7809798270893369</v>
      </c>
      <c r="X40">
        <v>320</v>
      </c>
      <c r="Y40">
        <v>0</v>
      </c>
      <c r="Z40">
        <v>0</v>
      </c>
      <c r="AA40">
        <v>10</v>
      </c>
      <c r="AB40" s="3">
        <f t="shared" si="24"/>
        <v>2.8818443804034581</v>
      </c>
      <c r="AC40">
        <v>12</v>
      </c>
      <c r="AD40" s="3">
        <f t="shared" si="25"/>
        <v>3.4582132564841497</v>
      </c>
      <c r="AE40">
        <v>21</v>
      </c>
      <c r="AF40" s="3">
        <f t="shared" si="26"/>
        <v>6.0518731988472618</v>
      </c>
      <c r="AG40">
        <v>122</v>
      </c>
      <c r="AH40" s="3">
        <f t="shared" si="27"/>
        <v>35.158501440922187</v>
      </c>
      <c r="AI40">
        <v>14</v>
      </c>
      <c r="AJ40" s="3">
        <f t="shared" si="28"/>
        <v>4.0345821325648412</v>
      </c>
      <c r="AK40">
        <v>26</v>
      </c>
      <c r="AL40" s="3">
        <f t="shared" si="29"/>
        <v>7.4927953890489913</v>
      </c>
      <c r="AM40">
        <v>6</v>
      </c>
      <c r="AN40" s="3">
        <f t="shared" si="30"/>
        <v>1.7291066282420748</v>
      </c>
      <c r="AO40">
        <v>89</v>
      </c>
      <c r="AP40" s="3">
        <f t="shared" si="31"/>
        <v>25.648414985590779</v>
      </c>
      <c r="AQ40">
        <v>16</v>
      </c>
      <c r="AR40" s="3">
        <f t="shared" si="32"/>
        <v>4.6109510086455332</v>
      </c>
      <c r="AS40">
        <v>4</v>
      </c>
      <c r="AT40" s="3">
        <f t="shared" si="33"/>
        <v>1.1527377521613833</v>
      </c>
      <c r="AU40" t="s">
        <v>314</v>
      </c>
      <c r="AV40" s="72">
        <f>Дума_партии[[#This Row],[КОИБ]]</f>
        <v>2017</v>
      </c>
      <c r="AW40" s="1" t="str">
        <f>IF(Дума_партии[[#This Row],[Наблюдателей]]=0,"",Дума_партии[[#This Row],[Наблюдателей]])</f>
        <v/>
      </c>
      <c r="AX40"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45.76177285318559</v>
      </c>
      <c r="AY40" s="10">
        <f>2*(Дума_одномандатный[[#This Row],[Майданов Денис Васильевич]]-(AC$203/100)*Дума_одномандатный[[#This Row],[Число действительных избирательных бюллетеней]])</f>
        <v>66.079999999999984</v>
      </c>
      <c r="AZ40" s="10">
        <f>(Дума_одномандатный[[#This Row],[Вброс]]+Дума_одномандатный[[#This Row],[Перекладывание]])/2</f>
        <v>55.920886426592787</v>
      </c>
    </row>
    <row r="41" spans="1:52" x14ac:dyDescent="0.4">
      <c r="A41" t="s">
        <v>49</v>
      </c>
      <c r="B41" t="s">
        <v>50</v>
      </c>
      <c r="C41" t="s">
        <v>51</v>
      </c>
      <c r="D41" t="s">
        <v>138</v>
      </c>
      <c r="E41" t="s">
        <v>169</v>
      </c>
      <c r="F41" s="1">
        <f t="shared" ca="1" si="18"/>
        <v>3768</v>
      </c>
      <c r="G41" s="8" t="str">
        <f>Дума_партии[[#This Row],[Местоположение]]</f>
        <v>Звенигород</v>
      </c>
      <c r="H41" s="2" t="str">
        <f>LEFT(Дума_одномандатный[[#This Row],[tik]],4)&amp;"."&amp;IF(ISNUMBER(VALUE(RIGHT(Дума_одномандатный[[#This Row],[tik]]))),RIGHT(Дума_одномандатный[[#This Row],[tik]]),"")</f>
        <v>Один.</v>
      </c>
      <c r="I41">
        <v>1412</v>
      </c>
      <c r="J41" s="8">
        <f>Дума_одномандатный[[#This Row],[Число избирателей, внесенных в список избирателей на момент окончания голосования]]</f>
        <v>1412</v>
      </c>
      <c r="K41">
        <v>1200</v>
      </c>
      <c r="L41">
        <v>0</v>
      </c>
      <c r="M41">
        <v>418</v>
      </c>
      <c r="N41">
        <v>147</v>
      </c>
      <c r="O41" s="3">
        <f t="shared" si="19"/>
        <v>40.014164305949009</v>
      </c>
      <c r="P41" s="3">
        <f t="shared" si="20"/>
        <v>10.410764872521247</v>
      </c>
      <c r="Q41">
        <v>635</v>
      </c>
      <c r="R41">
        <v>146</v>
      </c>
      <c r="S41">
        <v>418</v>
      </c>
      <c r="T41" s="1">
        <f t="shared" si="21"/>
        <v>564</v>
      </c>
      <c r="U41" s="3">
        <f t="shared" si="22"/>
        <v>25.886524822695037</v>
      </c>
      <c r="V41">
        <v>35</v>
      </c>
      <c r="W41" s="3">
        <f t="shared" si="23"/>
        <v>6.205673758865248</v>
      </c>
      <c r="X41">
        <v>529</v>
      </c>
      <c r="Y41">
        <v>0</v>
      </c>
      <c r="Z41">
        <v>0</v>
      </c>
      <c r="AA41">
        <v>6</v>
      </c>
      <c r="AB41" s="3">
        <f t="shared" si="24"/>
        <v>1.0638297872340425</v>
      </c>
      <c r="AC41">
        <v>20</v>
      </c>
      <c r="AD41" s="3">
        <f t="shared" si="25"/>
        <v>3.5460992907801416</v>
      </c>
      <c r="AE41">
        <v>33</v>
      </c>
      <c r="AF41" s="3">
        <f t="shared" si="26"/>
        <v>5.8510638297872344</v>
      </c>
      <c r="AG41">
        <v>254</v>
      </c>
      <c r="AH41" s="3">
        <f t="shared" si="27"/>
        <v>45.035460992907801</v>
      </c>
      <c r="AI41">
        <v>36</v>
      </c>
      <c r="AJ41" s="3">
        <f t="shared" si="28"/>
        <v>6.3829787234042552</v>
      </c>
      <c r="AK41">
        <v>32</v>
      </c>
      <c r="AL41" s="3">
        <f t="shared" si="29"/>
        <v>5.6737588652482271</v>
      </c>
      <c r="AM41">
        <v>10</v>
      </c>
      <c r="AN41" s="3">
        <f t="shared" si="30"/>
        <v>1.7730496453900708</v>
      </c>
      <c r="AO41">
        <v>114</v>
      </c>
      <c r="AP41" s="3">
        <f t="shared" si="31"/>
        <v>20.212765957446809</v>
      </c>
      <c r="AQ41">
        <v>12</v>
      </c>
      <c r="AR41" s="3">
        <f t="shared" si="32"/>
        <v>2.1276595744680851</v>
      </c>
      <c r="AS41">
        <v>12</v>
      </c>
      <c r="AT41" s="3">
        <f t="shared" si="33"/>
        <v>2.1276595744680851</v>
      </c>
      <c r="AU41" t="s">
        <v>314</v>
      </c>
      <c r="AV41" s="72">
        <f>Дума_партии[[#This Row],[КОИБ]]</f>
        <v>2017</v>
      </c>
      <c r="AW41" s="1" t="str">
        <f>IF(Дума_партии[[#This Row],[Наблюдателей]]=0,"",Дума_партии[[#This Row],[Наблюдателей]])</f>
        <v/>
      </c>
      <c r="AX41"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148.11357340720221</v>
      </c>
      <c r="AY41" s="10">
        <f>2*(Дума_одномандатный[[#This Row],[Майданов Денис Васильевич]]-(AC$203/100)*Дума_одномандатный[[#This Row],[Число действительных избирательных бюллетеней]])</f>
        <v>213.87599999999998</v>
      </c>
      <c r="AZ41" s="10">
        <f>(Дума_одномандатный[[#This Row],[Вброс]]+Дума_одномандатный[[#This Row],[Перекладывание]])/2</f>
        <v>180.99478670360111</v>
      </c>
    </row>
    <row r="42" spans="1:52" x14ac:dyDescent="0.4">
      <c r="A42" t="s">
        <v>49</v>
      </c>
      <c r="B42" t="s">
        <v>50</v>
      </c>
      <c r="C42" t="s">
        <v>51</v>
      </c>
      <c r="D42" t="s">
        <v>138</v>
      </c>
      <c r="E42" t="s">
        <v>170</v>
      </c>
      <c r="F42" s="1">
        <f t="shared" ca="1" si="18"/>
        <v>3769</v>
      </c>
      <c r="G42" s="8" t="str">
        <f>Дума_партии[[#This Row],[Местоположение]]</f>
        <v>Звенигород</v>
      </c>
      <c r="H42" s="2" t="str">
        <f>LEFT(Дума_одномандатный[[#This Row],[tik]],4)&amp;"."&amp;IF(ISNUMBER(VALUE(RIGHT(Дума_одномандатный[[#This Row],[tik]]))),RIGHT(Дума_одномандатный[[#This Row],[tik]]),"")</f>
        <v>Один.</v>
      </c>
      <c r="I42">
        <v>2036</v>
      </c>
      <c r="J42" s="8">
        <f>Дума_одномандатный[[#This Row],[Число избирателей, внесенных в список избирателей на момент окончания голосования]]</f>
        <v>2036</v>
      </c>
      <c r="K42">
        <v>1500</v>
      </c>
      <c r="L42">
        <v>0</v>
      </c>
      <c r="M42">
        <v>516</v>
      </c>
      <c r="N42">
        <v>197</v>
      </c>
      <c r="O42" s="3">
        <f t="shared" si="19"/>
        <v>35.019646365422396</v>
      </c>
      <c r="P42" s="3">
        <f t="shared" si="20"/>
        <v>9.6758349705304525</v>
      </c>
      <c r="Q42">
        <v>787</v>
      </c>
      <c r="R42">
        <v>167</v>
      </c>
      <c r="S42">
        <v>516</v>
      </c>
      <c r="T42" s="1">
        <f t="shared" si="21"/>
        <v>683</v>
      </c>
      <c r="U42" s="3">
        <f t="shared" si="22"/>
        <v>24.450951683748169</v>
      </c>
      <c r="V42">
        <v>96</v>
      </c>
      <c r="W42" s="3">
        <f t="shared" si="23"/>
        <v>14.055636896046853</v>
      </c>
      <c r="X42">
        <v>587</v>
      </c>
      <c r="Y42">
        <v>0</v>
      </c>
      <c r="Z42">
        <v>0</v>
      </c>
      <c r="AA42">
        <v>14</v>
      </c>
      <c r="AB42" s="3">
        <f t="shared" si="24"/>
        <v>2.0497803806734991</v>
      </c>
      <c r="AC42">
        <v>36</v>
      </c>
      <c r="AD42" s="3">
        <f t="shared" si="25"/>
        <v>5.2708638360175692</v>
      </c>
      <c r="AE42">
        <v>61</v>
      </c>
      <c r="AF42" s="3">
        <f t="shared" si="26"/>
        <v>8.9311859443631043</v>
      </c>
      <c r="AG42">
        <v>206</v>
      </c>
      <c r="AH42" s="3">
        <f t="shared" si="27"/>
        <v>30.161054172767205</v>
      </c>
      <c r="AI42">
        <v>56</v>
      </c>
      <c r="AJ42" s="3">
        <f t="shared" si="28"/>
        <v>8.1991215226939964</v>
      </c>
      <c r="AK42">
        <v>38</v>
      </c>
      <c r="AL42" s="3">
        <f t="shared" si="29"/>
        <v>5.5636896046852122</v>
      </c>
      <c r="AM42">
        <v>13</v>
      </c>
      <c r="AN42" s="3">
        <f t="shared" si="30"/>
        <v>1.9033674963396778</v>
      </c>
      <c r="AO42">
        <v>141</v>
      </c>
      <c r="AP42" s="3">
        <f t="shared" si="31"/>
        <v>20.644216691068813</v>
      </c>
      <c r="AQ42">
        <v>13</v>
      </c>
      <c r="AR42" s="3">
        <f t="shared" si="32"/>
        <v>1.9033674963396778</v>
      </c>
      <c r="AS42">
        <v>9</v>
      </c>
      <c r="AT42" s="3">
        <f t="shared" si="33"/>
        <v>1.3177159590043923</v>
      </c>
      <c r="AU42" t="s">
        <v>314</v>
      </c>
      <c r="AV42" s="72">
        <f>Дума_партии[[#This Row],[КОИБ]]</f>
        <v>2017</v>
      </c>
      <c r="AW42" s="1">
        <f>IF(Дума_партии[[#This Row],[Наблюдателей]]=0,"",Дума_партии[[#This Row],[Наблюдателей]])</f>
        <v>1</v>
      </c>
      <c r="AX42"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59.299168975069222</v>
      </c>
      <c r="AY42" s="10">
        <f>2*(Дума_одномандатный[[#This Row],[Майданов Денис Васильевич]]-(AC$203/100)*Дума_одномандатный[[#This Row],[Число действительных избирательных бюллетеней]])</f>
        <v>85.627999999999986</v>
      </c>
      <c r="AZ42" s="10">
        <f>(Дума_одномандатный[[#This Row],[Вброс]]+Дума_одномандатный[[#This Row],[Перекладывание]])/2</f>
        <v>72.463584487534604</v>
      </c>
    </row>
    <row r="43" spans="1:52" x14ac:dyDescent="0.4">
      <c r="A43" t="s">
        <v>49</v>
      </c>
      <c r="B43" t="s">
        <v>50</v>
      </c>
      <c r="C43" t="s">
        <v>51</v>
      </c>
      <c r="D43" t="s">
        <v>138</v>
      </c>
      <c r="E43" t="s">
        <v>171</v>
      </c>
      <c r="F43" s="1">
        <f t="shared" ca="1" si="18"/>
        <v>3771</v>
      </c>
      <c r="G43" s="8" t="str">
        <f>Дума_партии[[#This Row],[Местоположение]]</f>
        <v>Звенигород</v>
      </c>
      <c r="H43" s="2" t="str">
        <f>LEFT(Дума_одномандатный[[#This Row],[tik]],4)&amp;"."&amp;IF(ISNUMBER(VALUE(RIGHT(Дума_одномандатный[[#This Row],[tik]]))),RIGHT(Дума_одномандатный[[#This Row],[tik]]),"")</f>
        <v>Один.</v>
      </c>
      <c r="I43">
        <v>559</v>
      </c>
      <c r="J43" s="8">
        <f>Дума_одномандатный[[#This Row],[Число избирателей, внесенных в список избирателей на момент окончания голосования]]</f>
        <v>559</v>
      </c>
      <c r="K43">
        <v>500</v>
      </c>
      <c r="L43">
        <v>0</v>
      </c>
      <c r="M43">
        <v>165</v>
      </c>
      <c r="N43">
        <v>7</v>
      </c>
      <c r="O43" s="3">
        <f t="shared" si="19"/>
        <v>30.76923076923077</v>
      </c>
      <c r="P43" s="3">
        <f t="shared" si="20"/>
        <v>1.2522361359570662</v>
      </c>
      <c r="Q43">
        <v>328</v>
      </c>
      <c r="R43">
        <v>7</v>
      </c>
      <c r="S43">
        <v>165</v>
      </c>
      <c r="T43" s="1">
        <f t="shared" si="21"/>
        <v>172</v>
      </c>
      <c r="U43" s="3">
        <f t="shared" si="22"/>
        <v>4.0697674418604652</v>
      </c>
      <c r="V43">
        <v>20</v>
      </c>
      <c r="W43" s="3">
        <f t="shared" si="23"/>
        <v>11.627906976744185</v>
      </c>
      <c r="X43">
        <v>152</v>
      </c>
      <c r="Y43">
        <v>0</v>
      </c>
      <c r="Z43">
        <v>0</v>
      </c>
      <c r="AA43">
        <v>3</v>
      </c>
      <c r="AB43" s="3">
        <f t="shared" si="24"/>
        <v>1.7441860465116279</v>
      </c>
      <c r="AC43">
        <v>13</v>
      </c>
      <c r="AD43" s="3">
        <f t="shared" si="25"/>
        <v>7.558139534883721</v>
      </c>
      <c r="AE43">
        <v>15</v>
      </c>
      <c r="AF43" s="3">
        <f t="shared" si="26"/>
        <v>8.720930232558139</v>
      </c>
      <c r="AG43">
        <v>44</v>
      </c>
      <c r="AH43" s="3">
        <f t="shared" si="27"/>
        <v>25.581395348837209</v>
      </c>
      <c r="AI43">
        <v>13</v>
      </c>
      <c r="AJ43" s="3">
        <f t="shared" si="28"/>
        <v>7.558139534883721</v>
      </c>
      <c r="AK43">
        <v>10</v>
      </c>
      <c r="AL43" s="3">
        <f t="shared" si="29"/>
        <v>5.8139534883720927</v>
      </c>
      <c r="AM43">
        <v>8</v>
      </c>
      <c r="AN43" s="3">
        <f t="shared" si="30"/>
        <v>4.6511627906976747</v>
      </c>
      <c r="AO43">
        <v>39</v>
      </c>
      <c r="AP43" s="3">
        <f t="shared" si="31"/>
        <v>22.674418604651162</v>
      </c>
      <c r="AQ43">
        <v>4</v>
      </c>
      <c r="AR43" s="3">
        <f t="shared" si="32"/>
        <v>2.3255813953488373</v>
      </c>
      <c r="AS43">
        <v>3</v>
      </c>
      <c r="AT43" s="3">
        <f t="shared" si="33"/>
        <v>1.7441860465116279</v>
      </c>
      <c r="AU43" t="s">
        <v>314</v>
      </c>
      <c r="AV43" s="72" t="str">
        <f>Дума_партии[[#This Row],[КОИБ]]</f>
        <v>N</v>
      </c>
      <c r="AW43" s="1" t="str">
        <f>IF(Дума_партии[[#This Row],[Наблюдателей]]=0,"",Дума_партии[[#This Row],[Наблюдателей]])</f>
        <v/>
      </c>
      <c r="AX43"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2.4155124653739577</v>
      </c>
      <c r="AY43" s="10">
        <f>2*(Дума_одномандатный[[#This Row],[Майданов Денис Васильевич]]-(AC$203/100)*Дума_одномандатный[[#This Row],[Число действительных избирательных бюллетеней]])</f>
        <v>3.4879999999999995</v>
      </c>
      <c r="AZ43" s="10">
        <f>(Дума_одномандатный[[#This Row],[Вброс]]+Дума_одномандатный[[#This Row],[Перекладывание]])/2</f>
        <v>2.9517562326869786</v>
      </c>
    </row>
    <row r="44" spans="1:52" x14ac:dyDescent="0.4">
      <c r="A44" t="s">
        <v>49</v>
      </c>
      <c r="B44" t="s">
        <v>50</v>
      </c>
      <c r="C44" t="s">
        <v>51</v>
      </c>
      <c r="D44" t="s">
        <v>138</v>
      </c>
      <c r="E44" t="s">
        <v>172</v>
      </c>
      <c r="F44" s="1">
        <f t="shared" ca="1" si="18"/>
        <v>3908</v>
      </c>
      <c r="G44" s="8" t="str">
        <f>Дума_партии[[#This Row],[Местоположение]]</f>
        <v>Кубинка</v>
      </c>
      <c r="H44" s="2" t="str">
        <f>LEFT(Дума_одномандатный[[#This Row],[tik]],4)&amp;"."&amp;IF(ISNUMBER(VALUE(RIGHT(Дума_одномандатный[[#This Row],[tik]]))),RIGHT(Дума_одномандатный[[#This Row],[tik]]),"")</f>
        <v>Один.</v>
      </c>
      <c r="I44">
        <v>2692</v>
      </c>
      <c r="J44" s="8">
        <f>Дума_одномандатный[[#This Row],[Число избирателей, внесенных в список избирателей на момент окончания голосования]]</f>
        <v>2692</v>
      </c>
      <c r="K44">
        <v>2000</v>
      </c>
      <c r="L44">
        <v>0</v>
      </c>
      <c r="M44">
        <v>900</v>
      </c>
      <c r="N44">
        <v>20</v>
      </c>
      <c r="O44" s="3">
        <f t="shared" si="19"/>
        <v>34.175334323922733</v>
      </c>
      <c r="P44" s="3">
        <f t="shared" si="20"/>
        <v>0.74294205052005946</v>
      </c>
      <c r="Q44">
        <v>1080</v>
      </c>
      <c r="R44">
        <v>20</v>
      </c>
      <c r="S44">
        <v>900</v>
      </c>
      <c r="T44" s="1">
        <f t="shared" si="21"/>
        <v>920</v>
      </c>
      <c r="U44" s="3">
        <f t="shared" si="22"/>
        <v>2.1739130434782608</v>
      </c>
      <c r="V44">
        <v>58</v>
      </c>
      <c r="W44" s="3">
        <f t="shared" si="23"/>
        <v>6.3043478260869561</v>
      </c>
      <c r="X44">
        <v>862</v>
      </c>
      <c r="Y44">
        <v>0</v>
      </c>
      <c r="Z44">
        <v>0</v>
      </c>
      <c r="AA44">
        <v>33</v>
      </c>
      <c r="AB44" s="3">
        <f t="shared" si="24"/>
        <v>3.5869565217391304</v>
      </c>
      <c r="AC44">
        <v>56</v>
      </c>
      <c r="AD44" s="3">
        <f t="shared" si="25"/>
        <v>6.0869565217391308</v>
      </c>
      <c r="AE44">
        <v>70</v>
      </c>
      <c r="AF44" s="3">
        <f t="shared" si="26"/>
        <v>7.6086956521739131</v>
      </c>
      <c r="AG44">
        <v>198</v>
      </c>
      <c r="AH44" s="3">
        <f t="shared" si="27"/>
        <v>21.521739130434781</v>
      </c>
      <c r="AI44">
        <v>57</v>
      </c>
      <c r="AJ44" s="3">
        <f t="shared" si="28"/>
        <v>6.1956521739130439</v>
      </c>
      <c r="AK44">
        <v>70</v>
      </c>
      <c r="AL44" s="3">
        <f t="shared" si="29"/>
        <v>7.6086956521739131</v>
      </c>
      <c r="AM44">
        <v>16</v>
      </c>
      <c r="AN44" s="3">
        <f t="shared" si="30"/>
        <v>1.7391304347826086</v>
      </c>
      <c r="AO44">
        <v>274</v>
      </c>
      <c r="AP44" s="3">
        <f t="shared" si="31"/>
        <v>29.782608695652176</v>
      </c>
      <c r="AQ44">
        <v>53</v>
      </c>
      <c r="AR44" s="3">
        <f t="shared" si="32"/>
        <v>5.7608695652173916</v>
      </c>
      <c r="AS44">
        <v>35</v>
      </c>
      <c r="AT44" s="3">
        <f t="shared" si="33"/>
        <v>3.8043478260869565</v>
      </c>
      <c r="AU44" t="s">
        <v>314</v>
      </c>
      <c r="AV44" s="72">
        <f>Дума_партии[[#This Row],[КОИБ]]</f>
        <v>2017</v>
      </c>
      <c r="AW44" s="1">
        <f>IF(Дума_партии[[#This Row],[Наблюдателей]]=0,"",Дума_партии[[#This Row],[Наблюдателей]])</f>
        <v>1</v>
      </c>
      <c r="AX44"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-57.667590027700868</v>
      </c>
      <c r="AY44" s="10">
        <f>2*(Дума_одномандатный[[#This Row],[Майданов Денис Васильевич]]-(AC$203/100)*Дума_одномандатный[[#This Row],[Число действительных избирательных бюллетеней]])</f>
        <v>-83.272000000000048</v>
      </c>
      <c r="AZ44" s="10">
        <f>(Дума_одномандатный[[#This Row],[Вброс]]+Дума_одномандатный[[#This Row],[Перекладывание]])/2</f>
        <v>-70.469795013850458</v>
      </c>
    </row>
    <row r="45" spans="1:52" x14ac:dyDescent="0.4">
      <c r="A45" t="s">
        <v>49</v>
      </c>
      <c r="B45" t="s">
        <v>50</v>
      </c>
      <c r="C45" t="s">
        <v>51</v>
      </c>
      <c r="D45" t="s">
        <v>138</v>
      </c>
      <c r="E45" t="s">
        <v>173</v>
      </c>
      <c r="F45" s="1">
        <f t="shared" ca="1" si="18"/>
        <v>3909</v>
      </c>
      <c r="G45" s="8" t="str">
        <f>Дума_партии[[#This Row],[Местоположение]]</f>
        <v>Кубинка</v>
      </c>
      <c r="H45" s="2" t="str">
        <f>LEFT(Дума_одномандатный[[#This Row],[tik]],4)&amp;"."&amp;IF(ISNUMBER(VALUE(RIGHT(Дума_одномандатный[[#This Row],[tik]]))),RIGHT(Дума_одномандатный[[#This Row],[tik]]),"")</f>
        <v>Один.</v>
      </c>
      <c r="I45">
        <v>2322</v>
      </c>
      <c r="J45" s="8">
        <f>Дума_одномандатный[[#This Row],[Число избирателей, внесенных в список избирателей на момент окончания голосования]]</f>
        <v>2322</v>
      </c>
      <c r="K45">
        <v>2000</v>
      </c>
      <c r="L45">
        <v>0</v>
      </c>
      <c r="M45">
        <v>778</v>
      </c>
      <c r="N45">
        <v>14</v>
      </c>
      <c r="O45" s="3">
        <f t="shared" si="19"/>
        <v>34.108527131782942</v>
      </c>
      <c r="P45" s="3">
        <f t="shared" si="20"/>
        <v>0.60292850990525404</v>
      </c>
      <c r="Q45">
        <v>1207</v>
      </c>
      <c r="R45">
        <v>14</v>
      </c>
      <c r="S45">
        <v>763</v>
      </c>
      <c r="T45" s="1">
        <f t="shared" si="21"/>
        <v>777</v>
      </c>
      <c r="U45" s="3">
        <f t="shared" si="22"/>
        <v>1.8018018018018018</v>
      </c>
      <c r="V45">
        <v>56</v>
      </c>
      <c r="W45" s="3">
        <f t="shared" si="23"/>
        <v>7.2072072072072073</v>
      </c>
      <c r="X45">
        <v>721</v>
      </c>
      <c r="Y45">
        <v>1</v>
      </c>
      <c r="Z45">
        <v>0</v>
      </c>
      <c r="AA45">
        <v>17</v>
      </c>
      <c r="AB45" s="3">
        <f t="shared" si="24"/>
        <v>2.1879021879021878</v>
      </c>
      <c r="AC45">
        <v>49</v>
      </c>
      <c r="AD45" s="3">
        <f t="shared" si="25"/>
        <v>6.3063063063063067</v>
      </c>
      <c r="AE45">
        <v>80</v>
      </c>
      <c r="AF45" s="3">
        <f t="shared" si="26"/>
        <v>10.296010296010296</v>
      </c>
      <c r="AG45">
        <v>176</v>
      </c>
      <c r="AH45" s="3">
        <f t="shared" si="27"/>
        <v>22.65122265122265</v>
      </c>
      <c r="AI45">
        <v>48</v>
      </c>
      <c r="AJ45" s="3">
        <f t="shared" si="28"/>
        <v>6.1776061776061777</v>
      </c>
      <c r="AK45">
        <v>71</v>
      </c>
      <c r="AL45" s="3">
        <f t="shared" si="29"/>
        <v>9.1377091377091375</v>
      </c>
      <c r="AM45">
        <v>15</v>
      </c>
      <c r="AN45" s="3">
        <f t="shared" si="30"/>
        <v>1.9305019305019304</v>
      </c>
      <c r="AO45">
        <v>198</v>
      </c>
      <c r="AP45" s="3">
        <f t="shared" si="31"/>
        <v>25.482625482625483</v>
      </c>
      <c r="AQ45">
        <v>38</v>
      </c>
      <c r="AR45" s="3">
        <f t="shared" si="32"/>
        <v>4.8906048906048909</v>
      </c>
      <c r="AS45">
        <v>29</v>
      </c>
      <c r="AT45" s="3">
        <f t="shared" si="33"/>
        <v>3.7323037323037322</v>
      </c>
      <c r="AU45" t="s">
        <v>314</v>
      </c>
      <c r="AV45" s="72">
        <f>Дума_партии[[#This Row],[КОИБ]]</f>
        <v>2017</v>
      </c>
      <c r="AW45" s="1">
        <f>IF(Дума_партии[[#This Row],[Наблюдателей]]=0,"",Дума_партии[[#This Row],[Наблюдателей]])</f>
        <v>2</v>
      </c>
      <c r="AX45"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-33.847645429362899</v>
      </c>
      <c r="AY45" s="10">
        <f>2*(Дума_одномандатный[[#This Row],[Майданов Денис Васильевич]]-(AC$203/100)*Дума_одномандатный[[#This Row],[Число действительных избирательных бюллетеней]])</f>
        <v>-48.876000000000033</v>
      </c>
      <c r="AZ45" s="10">
        <f>(Дума_одномандатный[[#This Row],[Вброс]]+Дума_одномандатный[[#This Row],[Перекладывание]])/2</f>
        <v>-41.361822714681466</v>
      </c>
    </row>
    <row r="46" spans="1:52" x14ac:dyDescent="0.4">
      <c r="A46" t="s">
        <v>49</v>
      </c>
      <c r="B46" t="s">
        <v>50</v>
      </c>
      <c r="C46" t="s">
        <v>51</v>
      </c>
      <c r="D46" t="s">
        <v>138</v>
      </c>
      <c r="E46" t="s">
        <v>174</v>
      </c>
      <c r="F46" s="1">
        <f t="shared" ca="1" si="18"/>
        <v>3912</v>
      </c>
      <c r="G46" s="8" t="str">
        <f>Дума_партии[[#This Row],[Местоположение]]</f>
        <v>Кубинка</v>
      </c>
      <c r="H46" s="2" t="str">
        <f>LEFT(Дума_одномандатный[[#This Row],[tik]],4)&amp;"."&amp;IF(ISNUMBER(VALUE(RIGHT(Дума_одномандатный[[#This Row],[tik]]))),RIGHT(Дума_одномандатный[[#This Row],[tik]]),"")</f>
        <v>Один.</v>
      </c>
      <c r="I46">
        <v>2409</v>
      </c>
      <c r="J46" s="8">
        <f>Дума_одномандатный[[#This Row],[Число избирателей, внесенных в список избирателей на момент окончания голосования]]</f>
        <v>2409</v>
      </c>
      <c r="K46">
        <v>2000</v>
      </c>
      <c r="L46">
        <v>0</v>
      </c>
      <c r="M46">
        <v>1603</v>
      </c>
      <c r="N46">
        <v>0</v>
      </c>
      <c r="O46" s="3">
        <f t="shared" si="19"/>
        <v>66.542133665421332</v>
      </c>
      <c r="P46" s="3">
        <f t="shared" si="20"/>
        <v>0</v>
      </c>
      <c r="Q46">
        <v>397</v>
      </c>
      <c r="R46">
        <v>0</v>
      </c>
      <c r="S46">
        <v>1603</v>
      </c>
      <c r="T46" s="1">
        <f t="shared" si="21"/>
        <v>1603</v>
      </c>
      <c r="U46" s="3">
        <f t="shared" si="22"/>
        <v>0</v>
      </c>
      <c r="V46">
        <v>114</v>
      </c>
      <c r="W46" s="3">
        <f t="shared" si="23"/>
        <v>7.1116656269494696</v>
      </c>
      <c r="X46">
        <v>1489</v>
      </c>
      <c r="Y46">
        <v>0</v>
      </c>
      <c r="Z46">
        <v>0</v>
      </c>
      <c r="AA46">
        <v>12</v>
      </c>
      <c r="AB46" s="3">
        <f t="shared" si="24"/>
        <v>0.74859638178415466</v>
      </c>
      <c r="AC46">
        <v>44</v>
      </c>
      <c r="AD46" s="3">
        <f t="shared" si="25"/>
        <v>2.7448533998752338</v>
      </c>
      <c r="AE46">
        <v>53</v>
      </c>
      <c r="AF46" s="3">
        <f t="shared" si="26"/>
        <v>3.3063006862133499</v>
      </c>
      <c r="AG46">
        <v>1120</v>
      </c>
      <c r="AH46" s="3">
        <f t="shared" si="27"/>
        <v>69.86899563318778</v>
      </c>
      <c r="AI46">
        <v>37</v>
      </c>
      <c r="AJ46" s="3">
        <f t="shared" si="28"/>
        <v>2.3081721771678105</v>
      </c>
      <c r="AK46">
        <v>56</v>
      </c>
      <c r="AL46" s="3">
        <f t="shared" si="29"/>
        <v>3.4934497816593888</v>
      </c>
      <c r="AM46">
        <v>10</v>
      </c>
      <c r="AN46" s="3">
        <f t="shared" si="30"/>
        <v>0.62383031815346224</v>
      </c>
      <c r="AO46">
        <v>118</v>
      </c>
      <c r="AP46" s="3">
        <f t="shared" si="31"/>
        <v>7.3611977542108544</v>
      </c>
      <c r="AQ46">
        <v>14</v>
      </c>
      <c r="AR46" s="3">
        <f t="shared" si="32"/>
        <v>0.8733624454148472</v>
      </c>
      <c r="AS46">
        <v>25</v>
      </c>
      <c r="AT46" s="3">
        <f t="shared" si="33"/>
        <v>1.5595757953836555</v>
      </c>
      <c r="AU46" t="s">
        <v>314</v>
      </c>
      <c r="AV46" s="72">
        <f>Дума_партии[[#This Row],[КОИБ]]</f>
        <v>2017</v>
      </c>
      <c r="AW46" s="1" t="str">
        <f>IF(Дума_партии[[#This Row],[Наблюдателей]]=0,"",Дума_партии[[#This Row],[Наблюдателей]])</f>
        <v/>
      </c>
      <c r="AX46"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977.91966759002764</v>
      </c>
      <c r="AY46" s="10">
        <f>2*(Дума_одномандатный[[#This Row],[Майданов Денис Васильевич]]-(AC$203/100)*Дума_одномандатный[[#This Row],[Число действительных избирательных бюллетеней]])</f>
        <v>1412.116</v>
      </c>
      <c r="AZ46" s="10">
        <f>(Дума_одномандатный[[#This Row],[Вброс]]+Дума_одномандатный[[#This Row],[Перекладывание]])/2</f>
        <v>1195.0178337950138</v>
      </c>
    </row>
    <row r="47" spans="1:52" x14ac:dyDescent="0.4">
      <c r="A47" t="s">
        <v>49</v>
      </c>
      <c r="B47" t="s">
        <v>50</v>
      </c>
      <c r="C47" t="s">
        <v>51</v>
      </c>
      <c r="D47" t="s">
        <v>138</v>
      </c>
      <c r="E47" t="s">
        <v>175</v>
      </c>
      <c r="F47" s="1">
        <f t="shared" ca="1" si="18"/>
        <v>3913</v>
      </c>
      <c r="G47" s="8" t="str">
        <f>Дума_партии[[#This Row],[Местоположение]]</f>
        <v>Кубинка</v>
      </c>
      <c r="H47" s="2" t="str">
        <f>LEFT(Дума_одномандатный[[#This Row],[tik]],4)&amp;"."&amp;IF(ISNUMBER(VALUE(RIGHT(Дума_одномандатный[[#This Row],[tik]]))),RIGHT(Дума_одномандатный[[#This Row],[tik]]),"")</f>
        <v>Один.</v>
      </c>
      <c r="I47">
        <v>981</v>
      </c>
      <c r="J47" s="8">
        <f>Дума_одномандатный[[#This Row],[Число избирателей, внесенных в список избирателей на момент окончания голосования]]</f>
        <v>981</v>
      </c>
      <c r="K47">
        <v>850</v>
      </c>
      <c r="L47">
        <v>0</v>
      </c>
      <c r="M47">
        <v>761</v>
      </c>
      <c r="N47">
        <v>0</v>
      </c>
      <c r="O47" s="3">
        <f t="shared" si="19"/>
        <v>77.573904179408771</v>
      </c>
      <c r="P47" s="3">
        <f t="shared" si="20"/>
        <v>0</v>
      </c>
      <c r="Q47">
        <v>89</v>
      </c>
      <c r="R47">
        <v>0</v>
      </c>
      <c r="S47">
        <v>759</v>
      </c>
      <c r="T47" s="1">
        <f t="shared" si="21"/>
        <v>759</v>
      </c>
      <c r="U47" s="3">
        <f t="shared" si="22"/>
        <v>0</v>
      </c>
      <c r="V47">
        <v>18</v>
      </c>
      <c r="W47" s="3">
        <f t="shared" si="23"/>
        <v>2.3715415019762847</v>
      </c>
      <c r="X47">
        <v>741</v>
      </c>
      <c r="Y47">
        <v>0</v>
      </c>
      <c r="Z47">
        <v>0</v>
      </c>
      <c r="AA47">
        <v>12</v>
      </c>
      <c r="AB47" s="3">
        <f t="shared" si="24"/>
        <v>1.5810276679841897</v>
      </c>
      <c r="AC47">
        <v>15</v>
      </c>
      <c r="AD47" s="3">
        <f t="shared" si="25"/>
        <v>1.9762845849802371</v>
      </c>
      <c r="AE47">
        <v>15</v>
      </c>
      <c r="AF47" s="3">
        <f t="shared" si="26"/>
        <v>1.9762845849802371</v>
      </c>
      <c r="AG47">
        <v>621</v>
      </c>
      <c r="AH47" s="3">
        <f t="shared" si="27"/>
        <v>81.818181818181813</v>
      </c>
      <c r="AI47">
        <v>22</v>
      </c>
      <c r="AJ47" s="3">
        <f t="shared" si="28"/>
        <v>2.8985507246376812</v>
      </c>
      <c r="AK47">
        <v>13</v>
      </c>
      <c r="AL47" s="3">
        <f t="shared" si="29"/>
        <v>1.7127799736495388</v>
      </c>
      <c r="AM47">
        <v>5</v>
      </c>
      <c r="AN47" s="3">
        <f t="shared" si="30"/>
        <v>0.65876152832674573</v>
      </c>
      <c r="AO47">
        <v>28</v>
      </c>
      <c r="AP47" s="3">
        <f t="shared" si="31"/>
        <v>3.6890645586297759</v>
      </c>
      <c r="AQ47">
        <v>4</v>
      </c>
      <c r="AR47" s="3">
        <f t="shared" si="32"/>
        <v>0.5270092226613966</v>
      </c>
      <c r="AS47">
        <v>6</v>
      </c>
      <c r="AT47" s="3">
        <f t="shared" si="33"/>
        <v>0.79051383399209485</v>
      </c>
      <c r="AU47" t="s">
        <v>314</v>
      </c>
      <c r="AV47" s="72" t="str">
        <f>Дума_партии[[#This Row],[КОИБ]]</f>
        <v>N</v>
      </c>
      <c r="AW47" s="1" t="str">
        <f>IF(Дума_партии[[#This Row],[Наблюдателей]]=0,"",Дума_партии[[#This Row],[Наблюдателей]])</f>
        <v/>
      </c>
      <c r="AX47"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574.79501385041556</v>
      </c>
      <c r="AY47" s="10">
        <f>2*(Дума_одномандатный[[#This Row],[Майданов Денис Васильевич]]-(AC$203/100)*Дума_одномандатный[[#This Row],[Число действительных избирательных бюллетеней]])</f>
        <v>830.00399999999991</v>
      </c>
      <c r="AZ47" s="10">
        <f>(Дума_одномандатный[[#This Row],[Вброс]]+Дума_одномандатный[[#This Row],[Перекладывание]])/2</f>
        <v>702.39950692520779</v>
      </c>
    </row>
    <row r="48" spans="1:52" x14ac:dyDescent="0.4">
      <c r="A48" t="s">
        <v>49</v>
      </c>
      <c r="B48" t="s">
        <v>50</v>
      </c>
      <c r="C48" t="s">
        <v>51</v>
      </c>
      <c r="D48" t="s">
        <v>138</v>
      </c>
      <c r="E48" t="s">
        <v>176</v>
      </c>
      <c r="F48" s="1">
        <f t="shared" ca="1" si="18"/>
        <v>3914</v>
      </c>
      <c r="G48" s="8" t="str">
        <f>Дума_партии[[#This Row],[Местоположение]]</f>
        <v>Кубинка</v>
      </c>
      <c r="H48" s="2" t="str">
        <f>LEFT(Дума_одномандатный[[#This Row],[tik]],4)&amp;"."&amp;IF(ISNUMBER(VALUE(RIGHT(Дума_одномандатный[[#This Row],[tik]]))),RIGHT(Дума_одномандатный[[#This Row],[tik]]),"")</f>
        <v>Один.</v>
      </c>
      <c r="I48">
        <v>437</v>
      </c>
      <c r="J48" s="8">
        <f>Дума_одномандатный[[#This Row],[Число избирателей, внесенных в список избирателей на момент окончания голосования]]</f>
        <v>437</v>
      </c>
      <c r="K48">
        <v>400</v>
      </c>
      <c r="L48">
        <v>0</v>
      </c>
      <c r="M48">
        <v>263</v>
      </c>
      <c r="N48">
        <v>20</v>
      </c>
      <c r="O48" s="3">
        <f t="shared" si="19"/>
        <v>64.759725400457668</v>
      </c>
      <c r="P48" s="3">
        <f t="shared" si="20"/>
        <v>4.5766590389016022</v>
      </c>
      <c r="Q48">
        <v>117</v>
      </c>
      <c r="R48">
        <v>20</v>
      </c>
      <c r="S48">
        <v>263</v>
      </c>
      <c r="T48" s="1">
        <f t="shared" si="21"/>
        <v>283</v>
      </c>
      <c r="U48" s="3">
        <f t="shared" si="22"/>
        <v>7.0671378091872787</v>
      </c>
      <c r="V48">
        <v>0</v>
      </c>
      <c r="W48" s="3">
        <f t="shared" si="23"/>
        <v>0</v>
      </c>
      <c r="X48">
        <v>283</v>
      </c>
      <c r="Y48">
        <v>0</v>
      </c>
      <c r="Z48">
        <v>0</v>
      </c>
      <c r="AA48">
        <v>7</v>
      </c>
      <c r="AB48" s="3">
        <f t="shared" si="24"/>
        <v>2.4734982332155475</v>
      </c>
      <c r="AC48">
        <v>10</v>
      </c>
      <c r="AD48" s="3">
        <f t="shared" si="25"/>
        <v>3.5335689045936394</v>
      </c>
      <c r="AE48">
        <v>5</v>
      </c>
      <c r="AF48" s="3">
        <f t="shared" si="26"/>
        <v>1.7667844522968197</v>
      </c>
      <c r="AG48">
        <v>142</v>
      </c>
      <c r="AH48" s="3">
        <f t="shared" si="27"/>
        <v>50.176678445229683</v>
      </c>
      <c r="AI48">
        <v>15</v>
      </c>
      <c r="AJ48" s="3">
        <f t="shared" si="28"/>
        <v>5.3003533568904597</v>
      </c>
      <c r="AK48">
        <v>28</v>
      </c>
      <c r="AL48" s="3">
        <f t="shared" si="29"/>
        <v>9.8939929328621901</v>
      </c>
      <c r="AM48">
        <v>3</v>
      </c>
      <c r="AN48" s="3">
        <f t="shared" si="30"/>
        <v>1.0600706713780919</v>
      </c>
      <c r="AO48">
        <v>51</v>
      </c>
      <c r="AP48" s="3">
        <f t="shared" si="31"/>
        <v>18.021201413427562</v>
      </c>
      <c r="AQ48">
        <v>17</v>
      </c>
      <c r="AR48" s="3">
        <f t="shared" si="32"/>
        <v>6.0070671378091873</v>
      </c>
      <c r="AS48">
        <v>5</v>
      </c>
      <c r="AT48" s="3">
        <f t="shared" si="33"/>
        <v>1.7667844522968197</v>
      </c>
      <c r="AU48" t="s">
        <v>314</v>
      </c>
      <c r="AV48" s="72" t="str">
        <f>Дума_партии[[#This Row],[КОИБ]]</f>
        <v>N</v>
      </c>
      <c r="AW48" s="1" t="str">
        <f>IF(Дума_партии[[#This Row],[Наблюдателей]]=0,"",Дума_партии[[#This Row],[Наблюдателей]])</f>
        <v/>
      </c>
      <c r="AX48"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87.70914127423822</v>
      </c>
      <c r="AY48" s="10">
        <f>2*(Дума_одномандатный[[#This Row],[Майданов Денис Васильевич]]-(AC$203/100)*Дума_одномандатный[[#This Row],[Число действительных избирательных бюллетеней]])</f>
        <v>126.65199999999999</v>
      </c>
      <c r="AZ48" s="10">
        <f>(Дума_одномандатный[[#This Row],[Вброс]]+Дума_одномандатный[[#This Row],[Перекладывание]])/2</f>
        <v>107.1805706371191</v>
      </c>
    </row>
    <row r="49" spans="1:52" x14ac:dyDescent="0.4">
      <c r="A49" t="s">
        <v>49</v>
      </c>
      <c r="B49" t="s">
        <v>50</v>
      </c>
      <c r="C49" t="s">
        <v>51</v>
      </c>
      <c r="D49" t="s">
        <v>138</v>
      </c>
      <c r="E49" t="s">
        <v>177</v>
      </c>
      <c r="F49" s="1">
        <f t="shared" ca="1" si="18"/>
        <v>3915</v>
      </c>
      <c r="G49" s="8" t="str">
        <f>Дума_партии[[#This Row],[Местоположение]]</f>
        <v>Кубинка</v>
      </c>
      <c r="H49" s="2" t="str">
        <f>LEFT(Дума_одномандатный[[#This Row],[tik]],4)&amp;"."&amp;IF(ISNUMBER(VALUE(RIGHT(Дума_одномандатный[[#This Row],[tik]]))),RIGHT(Дума_одномандатный[[#This Row],[tik]]),"")</f>
        <v>Один.</v>
      </c>
      <c r="I49">
        <v>1605</v>
      </c>
      <c r="J49" s="8">
        <f>Дума_одномандатный[[#This Row],[Число избирателей, внесенных в список избирателей на момент окончания голосования]]</f>
        <v>1605</v>
      </c>
      <c r="K49">
        <v>1500</v>
      </c>
      <c r="L49">
        <v>0</v>
      </c>
      <c r="M49">
        <v>652</v>
      </c>
      <c r="N49">
        <v>5</v>
      </c>
      <c r="O49" s="3">
        <f t="shared" si="19"/>
        <v>40.934579439252339</v>
      </c>
      <c r="P49" s="3">
        <f t="shared" si="20"/>
        <v>0.3115264797507788</v>
      </c>
      <c r="Q49">
        <v>843</v>
      </c>
      <c r="R49">
        <v>5</v>
      </c>
      <c r="S49">
        <v>652</v>
      </c>
      <c r="T49" s="1">
        <f t="shared" si="21"/>
        <v>657</v>
      </c>
      <c r="U49" s="3">
        <f t="shared" si="22"/>
        <v>0.76103500761035003</v>
      </c>
      <c r="V49">
        <v>43</v>
      </c>
      <c r="W49" s="3">
        <f t="shared" si="23"/>
        <v>6.544901065449011</v>
      </c>
      <c r="X49">
        <v>614</v>
      </c>
      <c r="Y49">
        <v>0</v>
      </c>
      <c r="Z49">
        <v>0</v>
      </c>
      <c r="AA49">
        <v>24</v>
      </c>
      <c r="AB49" s="3">
        <f t="shared" si="24"/>
        <v>3.6529680365296802</v>
      </c>
      <c r="AC49">
        <v>39</v>
      </c>
      <c r="AD49" s="3">
        <f t="shared" si="25"/>
        <v>5.9360730593607309</v>
      </c>
      <c r="AE49">
        <v>48</v>
      </c>
      <c r="AF49" s="3">
        <f t="shared" si="26"/>
        <v>7.3059360730593603</v>
      </c>
      <c r="AG49">
        <v>195</v>
      </c>
      <c r="AH49" s="3">
        <f t="shared" si="27"/>
        <v>29.680365296803654</v>
      </c>
      <c r="AI49">
        <v>63</v>
      </c>
      <c r="AJ49" s="3">
        <f t="shared" si="28"/>
        <v>9.5890410958904102</v>
      </c>
      <c r="AK49">
        <v>50</v>
      </c>
      <c r="AL49" s="3">
        <f t="shared" si="29"/>
        <v>7.6103500761035008</v>
      </c>
      <c r="AM49">
        <v>20</v>
      </c>
      <c r="AN49" s="3">
        <f t="shared" si="30"/>
        <v>3.0441400304414001</v>
      </c>
      <c r="AO49">
        <v>130</v>
      </c>
      <c r="AP49" s="3">
        <f t="shared" si="31"/>
        <v>19.786910197869101</v>
      </c>
      <c r="AQ49">
        <v>30</v>
      </c>
      <c r="AR49" s="3">
        <f t="shared" si="32"/>
        <v>4.5662100456621006</v>
      </c>
      <c r="AS49">
        <v>15</v>
      </c>
      <c r="AT49" s="3">
        <f t="shared" si="33"/>
        <v>2.2831050228310503</v>
      </c>
      <c r="AU49" t="s">
        <v>314</v>
      </c>
      <c r="AV49" s="72">
        <f>Дума_партии[[#This Row],[КОИБ]]</f>
        <v>2017</v>
      </c>
      <c r="AW49" s="1" t="str">
        <f>IF(Дума_партии[[#This Row],[Наблюдателей]]=0,"",Дума_партии[[#This Row],[Наблюдателей]])</f>
        <v/>
      </c>
      <c r="AX49"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33.667590027700811</v>
      </c>
      <c r="AY49" s="10">
        <f>2*(Дума_одномандатный[[#This Row],[Майданов Денис Васильевич]]-(AC$203/100)*Дума_одномандатный[[#This Row],[Число действительных избирательных бюллетеней]])</f>
        <v>48.615999999999985</v>
      </c>
      <c r="AZ49" s="10">
        <f>(Дума_одномандатный[[#This Row],[Вброс]]+Дума_одномандатный[[#This Row],[Перекладывание]])/2</f>
        <v>41.141795013850398</v>
      </c>
    </row>
    <row r="50" spans="1:52" x14ac:dyDescent="0.4">
      <c r="A50" t="s">
        <v>49</v>
      </c>
      <c r="B50" t="s">
        <v>50</v>
      </c>
      <c r="C50" t="s">
        <v>51</v>
      </c>
      <c r="D50" t="s">
        <v>138</v>
      </c>
      <c r="E50" t="s">
        <v>178</v>
      </c>
      <c r="F50" s="1">
        <f t="shared" ca="1" si="18"/>
        <v>3916</v>
      </c>
      <c r="G50" s="8" t="str">
        <f>Дума_партии[[#This Row],[Местоположение]]</f>
        <v>Кубинка</v>
      </c>
      <c r="H50" s="2" t="str">
        <f>LEFT(Дума_одномандатный[[#This Row],[tik]],4)&amp;"."&amp;IF(ISNUMBER(VALUE(RIGHT(Дума_одномандатный[[#This Row],[tik]]))),RIGHT(Дума_одномандатный[[#This Row],[tik]]),"")</f>
        <v>Один.</v>
      </c>
      <c r="I50">
        <v>1548</v>
      </c>
      <c r="J50" s="8">
        <f>Дума_одномандатный[[#This Row],[Число избирателей, внесенных в список избирателей на момент окончания голосования]]</f>
        <v>1548</v>
      </c>
      <c r="K50">
        <v>1400</v>
      </c>
      <c r="L50">
        <v>0</v>
      </c>
      <c r="M50">
        <v>712</v>
      </c>
      <c r="N50">
        <v>4</v>
      </c>
      <c r="O50" s="3">
        <f t="shared" si="19"/>
        <v>46.253229974160206</v>
      </c>
      <c r="P50" s="3">
        <f t="shared" si="20"/>
        <v>0.25839793281653745</v>
      </c>
      <c r="Q50">
        <v>684</v>
      </c>
      <c r="R50">
        <v>4</v>
      </c>
      <c r="S50">
        <v>712</v>
      </c>
      <c r="T50" s="1">
        <f t="shared" si="21"/>
        <v>716</v>
      </c>
      <c r="U50" s="3">
        <f t="shared" si="22"/>
        <v>0.55865921787709494</v>
      </c>
      <c r="V50">
        <v>27</v>
      </c>
      <c r="W50" s="3">
        <f t="shared" si="23"/>
        <v>3.7709497206703912</v>
      </c>
      <c r="X50">
        <v>689</v>
      </c>
      <c r="Y50">
        <v>0</v>
      </c>
      <c r="Z50">
        <v>0</v>
      </c>
      <c r="AA50">
        <v>20</v>
      </c>
      <c r="AB50" s="3">
        <f t="shared" si="24"/>
        <v>2.7932960893854748</v>
      </c>
      <c r="AC50">
        <v>31</v>
      </c>
      <c r="AD50" s="3">
        <f t="shared" si="25"/>
        <v>4.3296089385474863</v>
      </c>
      <c r="AE50">
        <v>40</v>
      </c>
      <c r="AF50" s="3">
        <f t="shared" si="26"/>
        <v>5.5865921787709496</v>
      </c>
      <c r="AG50">
        <v>266</v>
      </c>
      <c r="AH50" s="3">
        <f t="shared" si="27"/>
        <v>37.150837988826815</v>
      </c>
      <c r="AI50">
        <v>56</v>
      </c>
      <c r="AJ50" s="3">
        <f t="shared" si="28"/>
        <v>7.8212290502793298</v>
      </c>
      <c r="AK50">
        <v>62</v>
      </c>
      <c r="AL50" s="3">
        <f t="shared" si="29"/>
        <v>8.6592178770949726</v>
      </c>
      <c r="AM50">
        <v>12</v>
      </c>
      <c r="AN50" s="3">
        <f t="shared" si="30"/>
        <v>1.6759776536312849</v>
      </c>
      <c r="AO50">
        <v>149</v>
      </c>
      <c r="AP50" s="3">
        <f t="shared" si="31"/>
        <v>20.810055865921786</v>
      </c>
      <c r="AQ50">
        <v>31</v>
      </c>
      <c r="AR50" s="3">
        <f t="shared" si="32"/>
        <v>4.3296089385474863</v>
      </c>
      <c r="AS50">
        <v>22</v>
      </c>
      <c r="AT50" s="3">
        <f t="shared" si="33"/>
        <v>3.0726256983240225</v>
      </c>
      <c r="AU50" t="s">
        <v>314</v>
      </c>
      <c r="AV50" s="72">
        <f>Дума_партии[[#This Row],[КОИБ]]</f>
        <v>2017</v>
      </c>
      <c r="AW50" s="1" t="str">
        <f>IF(Дума_партии[[#This Row],[Наблюдателей]]=0,"",Дума_партии[[#This Row],[Наблюдателей]])</f>
        <v/>
      </c>
      <c r="AX50"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103.12742382271466</v>
      </c>
      <c r="AY50" s="10">
        <f>2*(Дума_одномандатный[[#This Row],[Майданов Денис Васильевич]]-(AC$203/100)*Дума_одномандатный[[#This Row],[Число действительных избирательных бюллетеней]])</f>
        <v>148.91599999999994</v>
      </c>
      <c r="AZ50" s="10">
        <f>(Дума_одномандатный[[#This Row],[Вброс]]+Дума_одномандатный[[#This Row],[Перекладывание]])/2</f>
        <v>126.0217119113573</v>
      </c>
    </row>
    <row r="51" spans="1:52" x14ac:dyDescent="0.4">
      <c r="A51" t="s">
        <v>49</v>
      </c>
      <c r="B51" t="s">
        <v>50</v>
      </c>
      <c r="C51" t="s">
        <v>51</v>
      </c>
      <c r="D51" t="s">
        <v>138</v>
      </c>
      <c r="E51" t="s">
        <v>179</v>
      </c>
      <c r="F51" s="1">
        <f t="shared" ca="1" si="18"/>
        <v>3917</v>
      </c>
      <c r="G51" s="8" t="str">
        <f>Дума_партии[[#This Row],[Местоположение]]</f>
        <v>Кубинка</v>
      </c>
      <c r="H51" s="2" t="str">
        <f>LEFT(Дума_одномандатный[[#This Row],[tik]],4)&amp;"."&amp;IF(ISNUMBER(VALUE(RIGHT(Дума_одномандатный[[#This Row],[tik]]))),RIGHT(Дума_одномандатный[[#This Row],[tik]]),"")</f>
        <v>Один.</v>
      </c>
      <c r="I51">
        <v>2237</v>
      </c>
      <c r="J51" s="8">
        <f>Дума_одномандатный[[#This Row],[Число избирателей, внесенных в список избирателей на момент окончания голосования]]</f>
        <v>2237</v>
      </c>
      <c r="K51">
        <v>1800</v>
      </c>
      <c r="L51">
        <v>0</v>
      </c>
      <c r="M51">
        <v>1226</v>
      </c>
      <c r="N51">
        <v>4</v>
      </c>
      <c r="O51" s="3">
        <f t="shared" si="19"/>
        <v>54.984354045596781</v>
      </c>
      <c r="P51" s="3">
        <f t="shared" si="20"/>
        <v>0.17881090746535538</v>
      </c>
      <c r="Q51">
        <v>570</v>
      </c>
      <c r="R51">
        <v>4</v>
      </c>
      <c r="S51">
        <v>1218</v>
      </c>
      <c r="T51" s="1">
        <f t="shared" si="21"/>
        <v>1222</v>
      </c>
      <c r="U51" s="3">
        <f t="shared" si="22"/>
        <v>0.32733224222585927</v>
      </c>
      <c r="V51">
        <v>63</v>
      </c>
      <c r="W51" s="3">
        <f t="shared" si="23"/>
        <v>5.1554828150572831</v>
      </c>
      <c r="X51">
        <v>1159</v>
      </c>
      <c r="Y51">
        <v>0</v>
      </c>
      <c r="Z51">
        <v>0</v>
      </c>
      <c r="AA51">
        <v>23</v>
      </c>
      <c r="AB51" s="3">
        <f t="shared" si="24"/>
        <v>1.8821603927986907</v>
      </c>
      <c r="AC51">
        <v>63</v>
      </c>
      <c r="AD51" s="3">
        <f t="shared" si="25"/>
        <v>5.1554828150572831</v>
      </c>
      <c r="AE51">
        <v>80</v>
      </c>
      <c r="AF51" s="3">
        <f t="shared" si="26"/>
        <v>6.5466448445171848</v>
      </c>
      <c r="AG51">
        <v>553</v>
      </c>
      <c r="AH51" s="3">
        <f t="shared" si="27"/>
        <v>45.253682487725044</v>
      </c>
      <c r="AI51">
        <v>68</v>
      </c>
      <c r="AJ51" s="3">
        <f t="shared" si="28"/>
        <v>5.5646481178396074</v>
      </c>
      <c r="AK51">
        <v>88</v>
      </c>
      <c r="AL51" s="3">
        <f t="shared" si="29"/>
        <v>7.2013093289689039</v>
      </c>
      <c r="AM51">
        <v>18</v>
      </c>
      <c r="AN51" s="3">
        <f t="shared" si="30"/>
        <v>1.4729950900163666</v>
      </c>
      <c r="AO51">
        <v>212</v>
      </c>
      <c r="AP51" s="3">
        <f t="shared" si="31"/>
        <v>17.348608837970541</v>
      </c>
      <c r="AQ51">
        <v>31</v>
      </c>
      <c r="AR51" s="3">
        <f t="shared" si="32"/>
        <v>2.5368248772504089</v>
      </c>
      <c r="AS51">
        <v>23</v>
      </c>
      <c r="AT51" s="3">
        <f t="shared" si="33"/>
        <v>1.8821603927986907</v>
      </c>
      <c r="AU51" t="s">
        <v>314</v>
      </c>
      <c r="AV51" s="72">
        <f>Дума_партии[[#This Row],[КОИБ]]</f>
        <v>2017</v>
      </c>
      <c r="AW51" s="1" t="str">
        <f>IF(Дума_партии[[#This Row],[Наблюдателей]]=0,"",Дума_партии[[#This Row],[Наблюдателей]])</f>
        <v/>
      </c>
      <c r="AX51"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319.66481994459832</v>
      </c>
      <c r="AY51" s="10">
        <f>2*(Дума_одномандатный[[#This Row],[Майданов Денис Васильевич]]-(AC$203/100)*Дума_одномандатный[[#This Row],[Число действительных избирательных бюллетеней]])</f>
        <v>461.59599999999989</v>
      </c>
      <c r="AZ51" s="10">
        <f>(Дума_одномандатный[[#This Row],[Вброс]]+Дума_одномандатный[[#This Row],[Перекладывание]])/2</f>
        <v>390.63040997229911</v>
      </c>
    </row>
    <row r="52" spans="1:52" x14ac:dyDescent="0.4">
      <c r="A52" t="s">
        <v>49</v>
      </c>
      <c r="B52" t="s">
        <v>50</v>
      </c>
      <c r="C52" t="s">
        <v>51</v>
      </c>
      <c r="D52" t="s">
        <v>138</v>
      </c>
      <c r="E52" t="s">
        <v>180</v>
      </c>
      <c r="F52" s="1">
        <f t="shared" ca="1" si="18"/>
        <v>3919</v>
      </c>
      <c r="G52" s="8" t="str">
        <f>Дума_партии[[#This Row],[Местоположение]]</f>
        <v>Чупряково</v>
      </c>
      <c r="H52" s="2" t="str">
        <f>LEFT(Дума_одномандатный[[#This Row],[tik]],4)&amp;"."&amp;IF(ISNUMBER(VALUE(RIGHT(Дума_одномандатный[[#This Row],[tik]]))),RIGHT(Дума_одномандатный[[#This Row],[tik]]),"")</f>
        <v>Один.</v>
      </c>
      <c r="I52">
        <v>1881</v>
      </c>
      <c r="J52" s="8">
        <f>Дума_одномандатный[[#This Row],[Число избирателей, внесенных в список избирателей на момент окончания голосования]]</f>
        <v>1881</v>
      </c>
      <c r="K52">
        <v>1500</v>
      </c>
      <c r="L52">
        <v>0</v>
      </c>
      <c r="M52">
        <v>641</v>
      </c>
      <c r="N52">
        <v>129</v>
      </c>
      <c r="O52" s="3">
        <f t="shared" si="19"/>
        <v>40.935672514619881</v>
      </c>
      <c r="P52" s="3">
        <f t="shared" si="20"/>
        <v>6.8580542264752795</v>
      </c>
      <c r="Q52">
        <v>730</v>
      </c>
      <c r="R52">
        <v>129</v>
      </c>
      <c r="S52">
        <v>641</v>
      </c>
      <c r="T52" s="1">
        <f t="shared" si="21"/>
        <v>770</v>
      </c>
      <c r="U52" s="3">
        <f t="shared" si="22"/>
        <v>16.753246753246753</v>
      </c>
      <c r="V52">
        <v>36</v>
      </c>
      <c r="W52" s="3">
        <f t="shared" si="23"/>
        <v>4.6753246753246751</v>
      </c>
      <c r="X52">
        <v>734</v>
      </c>
      <c r="Y52">
        <v>0</v>
      </c>
      <c r="Z52">
        <v>0</v>
      </c>
      <c r="AA52">
        <v>9</v>
      </c>
      <c r="AB52" s="3">
        <f t="shared" si="24"/>
        <v>1.1688311688311688</v>
      </c>
      <c r="AC52">
        <v>72</v>
      </c>
      <c r="AD52" s="3">
        <f t="shared" si="25"/>
        <v>9.3506493506493502</v>
      </c>
      <c r="AE52">
        <v>39</v>
      </c>
      <c r="AF52" s="3">
        <f t="shared" si="26"/>
        <v>5.0649350649350646</v>
      </c>
      <c r="AG52">
        <v>311</v>
      </c>
      <c r="AH52" s="3">
        <f t="shared" si="27"/>
        <v>40.38961038961039</v>
      </c>
      <c r="AI52">
        <v>61</v>
      </c>
      <c r="AJ52" s="3">
        <f t="shared" si="28"/>
        <v>7.9220779220779223</v>
      </c>
      <c r="AK52">
        <v>67</v>
      </c>
      <c r="AL52" s="3">
        <f t="shared" si="29"/>
        <v>8.7012987012987004</v>
      </c>
      <c r="AM52">
        <v>9</v>
      </c>
      <c r="AN52" s="3">
        <f t="shared" si="30"/>
        <v>1.1688311688311688</v>
      </c>
      <c r="AO52">
        <v>128</v>
      </c>
      <c r="AP52" s="3">
        <f t="shared" si="31"/>
        <v>16.623376623376622</v>
      </c>
      <c r="AQ52">
        <v>25</v>
      </c>
      <c r="AR52" s="3">
        <f t="shared" si="32"/>
        <v>3.2467532467532467</v>
      </c>
      <c r="AS52">
        <v>13</v>
      </c>
      <c r="AT52" s="3">
        <f t="shared" si="33"/>
        <v>1.6883116883116882</v>
      </c>
      <c r="AU52" t="s">
        <v>314</v>
      </c>
      <c r="AV52" s="72">
        <f>Дума_партии[[#This Row],[КОИБ]]</f>
        <v>2017</v>
      </c>
      <c r="AW52" s="1" t="str">
        <f>IF(Дума_партии[[#This Row],[Наблюдателей]]=0,"",Дума_партии[[#This Row],[Наблюдателей]])</f>
        <v/>
      </c>
      <c r="AX52"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148.12742382271466</v>
      </c>
      <c r="AY52" s="10">
        <f>2*(Дума_одномандатный[[#This Row],[Майданов Денис Васильевич]]-(AC$203/100)*Дума_одномандатный[[#This Row],[Число действительных избирательных бюллетеней]])</f>
        <v>213.89599999999996</v>
      </c>
      <c r="AZ52" s="10">
        <f>(Дума_одномандатный[[#This Row],[Вброс]]+Дума_одномандатный[[#This Row],[Перекладывание]])/2</f>
        <v>181.01171191135731</v>
      </c>
    </row>
    <row r="53" spans="1:52" x14ac:dyDescent="0.4">
      <c r="A53" t="s">
        <v>49</v>
      </c>
      <c r="B53" t="s">
        <v>50</v>
      </c>
      <c r="C53" t="s">
        <v>51</v>
      </c>
      <c r="D53" t="s">
        <v>138</v>
      </c>
      <c r="E53" t="s">
        <v>181</v>
      </c>
      <c r="F53" s="1">
        <f t="shared" ca="1" si="18"/>
        <v>3921</v>
      </c>
      <c r="G53" s="8" t="str">
        <f>Дума_партии[[#This Row],[Местоположение]]</f>
        <v>Кубинка</v>
      </c>
      <c r="H53" s="2" t="str">
        <f>LEFT(Дума_одномандатный[[#This Row],[tik]],4)&amp;"."&amp;IF(ISNUMBER(VALUE(RIGHT(Дума_одномандатный[[#This Row],[tik]]))),RIGHT(Дума_одномандатный[[#This Row],[tik]]),"")</f>
        <v>Один.</v>
      </c>
      <c r="I53">
        <v>1667</v>
      </c>
      <c r="J53" s="8">
        <f>Дума_одномандатный[[#This Row],[Число избирателей, внесенных в список избирателей на момент окончания голосования]]</f>
        <v>1667</v>
      </c>
      <c r="K53">
        <v>1500</v>
      </c>
      <c r="L53">
        <v>0</v>
      </c>
      <c r="M53">
        <v>623</v>
      </c>
      <c r="N53">
        <v>5</v>
      </c>
      <c r="O53" s="3">
        <f t="shared" si="19"/>
        <v>37.672465506898618</v>
      </c>
      <c r="P53" s="3">
        <f t="shared" si="20"/>
        <v>0.29994001199760045</v>
      </c>
      <c r="Q53">
        <v>872</v>
      </c>
      <c r="R53">
        <v>5</v>
      </c>
      <c r="S53">
        <v>623</v>
      </c>
      <c r="T53" s="1">
        <f t="shared" si="21"/>
        <v>628</v>
      </c>
      <c r="U53" s="3">
        <f t="shared" si="22"/>
        <v>0.79617834394904463</v>
      </c>
      <c r="V53">
        <v>33</v>
      </c>
      <c r="W53" s="3">
        <f t="shared" si="23"/>
        <v>5.2547770700636942</v>
      </c>
      <c r="X53">
        <v>595</v>
      </c>
      <c r="Y53">
        <v>0</v>
      </c>
      <c r="Z53">
        <v>0</v>
      </c>
      <c r="AA53">
        <v>25</v>
      </c>
      <c r="AB53" s="3">
        <f t="shared" si="24"/>
        <v>3.9808917197452227</v>
      </c>
      <c r="AC53">
        <v>35</v>
      </c>
      <c r="AD53" s="3">
        <f t="shared" si="25"/>
        <v>5.5732484076433124</v>
      </c>
      <c r="AE53">
        <v>50</v>
      </c>
      <c r="AF53" s="3">
        <f t="shared" si="26"/>
        <v>7.9617834394904454</v>
      </c>
      <c r="AG53">
        <v>184</v>
      </c>
      <c r="AH53" s="3">
        <f t="shared" si="27"/>
        <v>29.29936305732484</v>
      </c>
      <c r="AI53">
        <v>56</v>
      </c>
      <c r="AJ53" s="3">
        <f t="shared" si="28"/>
        <v>8.9171974522292992</v>
      </c>
      <c r="AK53">
        <v>60</v>
      </c>
      <c r="AL53" s="3">
        <f t="shared" si="29"/>
        <v>9.5541401273885356</v>
      </c>
      <c r="AM53">
        <v>11</v>
      </c>
      <c r="AN53" s="3">
        <f t="shared" si="30"/>
        <v>1.7515923566878981</v>
      </c>
      <c r="AO53">
        <v>131</v>
      </c>
      <c r="AP53" s="3">
        <f t="shared" si="31"/>
        <v>20.859872611464969</v>
      </c>
      <c r="AQ53">
        <v>22</v>
      </c>
      <c r="AR53" s="3">
        <f t="shared" si="32"/>
        <v>3.5031847133757963</v>
      </c>
      <c r="AS53">
        <v>21</v>
      </c>
      <c r="AT53" s="3">
        <f t="shared" si="33"/>
        <v>3.3439490445859872</v>
      </c>
      <c r="AU53" t="s">
        <v>314</v>
      </c>
      <c r="AV53" s="72">
        <f>Дума_партии[[#This Row],[КОИБ]]</f>
        <v>2017</v>
      </c>
      <c r="AW53" s="1" t="str">
        <f>IF(Дума_партии[[#This Row],[Наблюдателей]]=0,"",Дума_партии[[#This Row],[Наблюдателей]])</f>
        <v/>
      </c>
      <c r="AX53"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25.747922437673111</v>
      </c>
      <c r="AY53" s="10">
        <f>2*(Дума_одномандатный[[#This Row],[Майданов Денис Васильевич]]-(AC$203/100)*Дума_одномандатный[[#This Row],[Число действительных избирательных бюллетеней]])</f>
        <v>37.17999999999995</v>
      </c>
      <c r="AZ53" s="10">
        <f>(Дума_одномандатный[[#This Row],[Вброс]]+Дума_одномандатный[[#This Row],[Перекладывание]])/2</f>
        <v>31.463961218836531</v>
      </c>
    </row>
    <row r="54" spans="1:52" x14ac:dyDescent="0.4">
      <c r="A54" t="s">
        <v>49</v>
      </c>
      <c r="B54" t="s">
        <v>50</v>
      </c>
      <c r="C54" t="s">
        <v>51</v>
      </c>
      <c r="D54" t="s">
        <v>138</v>
      </c>
      <c r="E54" t="s">
        <v>182</v>
      </c>
      <c r="F54" s="1">
        <f t="shared" ca="1" si="18"/>
        <v>3923</v>
      </c>
      <c r="G54" s="8" t="str">
        <f>Дума_партии[[#This Row],[Местоположение]]</f>
        <v>Кубинка</v>
      </c>
      <c r="H54" s="2" t="str">
        <f>LEFT(Дума_одномандатный[[#This Row],[tik]],4)&amp;"."&amp;IF(ISNUMBER(VALUE(RIGHT(Дума_одномандатный[[#This Row],[tik]]))),RIGHT(Дума_одномандатный[[#This Row],[tik]]),"")</f>
        <v>Один.</v>
      </c>
      <c r="I54">
        <v>1674</v>
      </c>
      <c r="J54" s="8">
        <f>Дума_одномандатный[[#This Row],[Число избирателей, внесенных в список избирателей на момент окончания голосования]]</f>
        <v>1674</v>
      </c>
      <c r="K54">
        <v>1500</v>
      </c>
      <c r="L54">
        <v>0</v>
      </c>
      <c r="M54">
        <v>711</v>
      </c>
      <c r="N54">
        <v>5</v>
      </c>
      <c r="O54" s="3">
        <f t="shared" si="19"/>
        <v>42.771804062126641</v>
      </c>
      <c r="P54" s="3">
        <f t="shared" si="20"/>
        <v>0.29868578255675032</v>
      </c>
      <c r="Q54">
        <v>784</v>
      </c>
      <c r="R54">
        <v>5</v>
      </c>
      <c r="S54">
        <v>711</v>
      </c>
      <c r="T54" s="1">
        <f t="shared" si="21"/>
        <v>716</v>
      </c>
      <c r="U54" s="3">
        <f t="shared" si="22"/>
        <v>0.6983240223463687</v>
      </c>
      <c r="V54">
        <v>59</v>
      </c>
      <c r="W54" s="3">
        <f t="shared" si="23"/>
        <v>8.2402234636871512</v>
      </c>
      <c r="X54">
        <v>657</v>
      </c>
      <c r="Y54">
        <v>0</v>
      </c>
      <c r="Z54">
        <v>0</v>
      </c>
      <c r="AA54">
        <v>19</v>
      </c>
      <c r="AB54" s="3">
        <f t="shared" si="24"/>
        <v>2.6536312849162011</v>
      </c>
      <c r="AC54">
        <v>34</v>
      </c>
      <c r="AD54" s="3">
        <f t="shared" si="25"/>
        <v>4.7486033519553077</v>
      </c>
      <c r="AE54">
        <v>61</v>
      </c>
      <c r="AF54" s="3">
        <f t="shared" si="26"/>
        <v>8.5195530726256976</v>
      </c>
      <c r="AG54">
        <v>198</v>
      </c>
      <c r="AH54" s="3">
        <f t="shared" si="27"/>
        <v>27.653631284916202</v>
      </c>
      <c r="AI54">
        <v>56</v>
      </c>
      <c r="AJ54" s="3">
        <f t="shared" si="28"/>
        <v>7.8212290502793298</v>
      </c>
      <c r="AK54">
        <v>58</v>
      </c>
      <c r="AL54" s="3">
        <f t="shared" si="29"/>
        <v>8.1005586592178762</v>
      </c>
      <c r="AM54">
        <v>9</v>
      </c>
      <c r="AN54" s="3">
        <f t="shared" si="30"/>
        <v>1.2569832402234637</v>
      </c>
      <c r="AO54">
        <v>166</v>
      </c>
      <c r="AP54" s="3">
        <f t="shared" si="31"/>
        <v>23.184357541899441</v>
      </c>
      <c r="AQ54">
        <v>36</v>
      </c>
      <c r="AR54" s="3">
        <f t="shared" si="32"/>
        <v>5.027932960893855</v>
      </c>
      <c r="AS54">
        <v>20</v>
      </c>
      <c r="AT54" s="3">
        <f t="shared" si="33"/>
        <v>2.7932960893854748</v>
      </c>
      <c r="AU54" t="s">
        <v>314</v>
      </c>
      <c r="AV54" s="72">
        <f>Дума_партии[[#This Row],[КОИБ]]</f>
        <v>2017</v>
      </c>
      <c r="AW54" s="1">
        <f>IF(Дума_партии[[#This Row],[Наблюдателей]]=0,"",Дума_партии[[#This Row],[Наблюдателей]])</f>
        <v>1</v>
      </c>
      <c r="AX54"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21.265927977839311</v>
      </c>
      <c r="AY54" s="10">
        <f>2*(Дума_одномандатный[[#This Row],[Майданов Денис Васильевич]]-(AC$203/100)*Дума_одномандатный[[#This Row],[Число действительных избирательных бюллетеней]])</f>
        <v>30.70799999999997</v>
      </c>
      <c r="AZ54" s="10">
        <f>(Дума_одномандатный[[#This Row],[Вброс]]+Дума_одномандатный[[#This Row],[Перекладывание]])/2</f>
        <v>25.986963988919641</v>
      </c>
    </row>
    <row r="55" spans="1:52" x14ac:dyDescent="0.4">
      <c r="A55" t="s">
        <v>49</v>
      </c>
      <c r="B55" t="s">
        <v>50</v>
      </c>
      <c r="C55" t="s">
        <v>51</v>
      </c>
      <c r="D55" t="s">
        <v>138</v>
      </c>
      <c r="E55" t="s">
        <v>183</v>
      </c>
      <c r="F55" s="1">
        <f t="shared" ca="1" si="18"/>
        <v>3925</v>
      </c>
      <c r="G55" s="8" t="str">
        <f>Дума_партии[[#This Row],[Местоположение]]</f>
        <v>Дубки</v>
      </c>
      <c r="H55" s="2" t="str">
        <f>LEFT(Дума_одномандатный[[#This Row],[tik]],4)&amp;"."&amp;IF(ISNUMBER(VALUE(RIGHT(Дума_одномандатный[[#This Row],[tik]]))),RIGHT(Дума_одномандатный[[#This Row],[tik]]),"")</f>
        <v>Один.</v>
      </c>
      <c r="I55">
        <v>525</v>
      </c>
      <c r="J55" s="8">
        <f>Дума_одномандатный[[#This Row],[Число избирателей, внесенных в список избирателей на момент окончания голосования]]</f>
        <v>525</v>
      </c>
      <c r="K55">
        <v>500</v>
      </c>
      <c r="L55">
        <v>0</v>
      </c>
      <c r="M55">
        <v>143</v>
      </c>
      <c r="N55">
        <v>268</v>
      </c>
      <c r="O55" s="3">
        <f t="shared" si="19"/>
        <v>78.285714285714292</v>
      </c>
      <c r="P55" s="3">
        <f t="shared" si="20"/>
        <v>51.047619047619051</v>
      </c>
      <c r="Q55">
        <v>89</v>
      </c>
      <c r="R55">
        <v>268</v>
      </c>
      <c r="S55">
        <v>143</v>
      </c>
      <c r="T55" s="1">
        <f t="shared" si="21"/>
        <v>411</v>
      </c>
      <c r="U55" s="3">
        <f t="shared" si="22"/>
        <v>65.206812652068123</v>
      </c>
      <c r="V55">
        <v>10</v>
      </c>
      <c r="W55" s="3">
        <f t="shared" si="23"/>
        <v>2.4330900243309004</v>
      </c>
      <c r="X55">
        <v>401</v>
      </c>
      <c r="Y55">
        <v>0</v>
      </c>
      <c r="Z55">
        <v>0</v>
      </c>
      <c r="AA55">
        <v>1</v>
      </c>
      <c r="AB55" s="3">
        <f t="shared" si="24"/>
        <v>0.24330900243309003</v>
      </c>
      <c r="AC55">
        <v>12</v>
      </c>
      <c r="AD55" s="3">
        <f t="shared" si="25"/>
        <v>2.9197080291970803</v>
      </c>
      <c r="AE55">
        <v>25</v>
      </c>
      <c r="AF55" s="3">
        <f t="shared" si="26"/>
        <v>6.0827250608272507</v>
      </c>
      <c r="AG55">
        <v>179</v>
      </c>
      <c r="AH55" s="3">
        <f t="shared" si="27"/>
        <v>43.552311435523116</v>
      </c>
      <c r="AI55">
        <v>20</v>
      </c>
      <c r="AJ55" s="3">
        <f t="shared" si="28"/>
        <v>4.8661800486618008</v>
      </c>
      <c r="AK55">
        <v>26</v>
      </c>
      <c r="AL55" s="3">
        <f t="shared" si="29"/>
        <v>6.3260340632603409</v>
      </c>
      <c r="AM55">
        <v>5</v>
      </c>
      <c r="AN55" s="3">
        <f t="shared" si="30"/>
        <v>1.2165450121654502</v>
      </c>
      <c r="AO55">
        <v>119</v>
      </c>
      <c r="AP55" s="3">
        <f t="shared" si="31"/>
        <v>28.953771289537713</v>
      </c>
      <c r="AQ55">
        <v>8</v>
      </c>
      <c r="AR55" s="3">
        <f t="shared" si="32"/>
        <v>1.9464720194647203</v>
      </c>
      <c r="AS55">
        <v>6</v>
      </c>
      <c r="AT55" s="3">
        <f t="shared" si="33"/>
        <v>1.4598540145985401</v>
      </c>
      <c r="AU55" t="s">
        <v>314</v>
      </c>
      <c r="AV55" s="72" t="str">
        <f>Дума_партии[[#This Row],[КОИБ]]</f>
        <v>N</v>
      </c>
      <c r="AW55" s="1" t="str">
        <f>IF(Дума_партии[[#This Row],[Наблюдателей]]=0,"",Дума_партии[[#This Row],[Наблюдателей]])</f>
        <v/>
      </c>
      <c r="AX55"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93.52077562326869</v>
      </c>
      <c r="AY55" s="10">
        <f>2*(Дума_одномандатный[[#This Row],[Майданов Денис Васильевич]]-(AC$203/100)*Дума_одномандатный[[#This Row],[Число действительных избирательных бюллетеней]])</f>
        <v>135.04399999999998</v>
      </c>
      <c r="AZ55" s="10">
        <f>(Дума_одномандатный[[#This Row],[Вброс]]+Дума_одномандатный[[#This Row],[Перекладывание]])/2</f>
        <v>114.28238781163434</v>
      </c>
    </row>
    <row r="56" spans="1:52" x14ac:dyDescent="0.4">
      <c r="A56" t="s">
        <v>49</v>
      </c>
      <c r="B56" t="s">
        <v>50</v>
      </c>
      <c r="C56" t="s">
        <v>51</v>
      </c>
      <c r="D56" t="s">
        <v>138</v>
      </c>
      <c r="E56" t="s">
        <v>184</v>
      </c>
      <c r="F56" s="1">
        <f t="shared" ca="1" si="18"/>
        <v>3926</v>
      </c>
      <c r="G56" s="8" t="str">
        <f>Дума_партии[[#This Row],[Местоположение]]</f>
        <v>Лесной Городок</v>
      </c>
      <c r="H56" s="2" t="str">
        <f>LEFT(Дума_одномандатный[[#This Row],[tik]],4)&amp;"."&amp;IF(ISNUMBER(VALUE(RIGHT(Дума_одномандатный[[#This Row],[tik]]))),RIGHT(Дума_одномандатный[[#This Row],[tik]]),"")</f>
        <v>Один.</v>
      </c>
      <c r="I56">
        <v>1782</v>
      </c>
      <c r="J56" s="8">
        <f>Дума_одномандатный[[#This Row],[Число избирателей, внесенных в список избирателей на момент окончания голосования]]</f>
        <v>1782</v>
      </c>
      <c r="K56">
        <v>1500</v>
      </c>
      <c r="L56">
        <v>0</v>
      </c>
      <c r="M56">
        <v>560</v>
      </c>
      <c r="N56">
        <v>42</v>
      </c>
      <c r="O56" s="3">
        <f t="shared" si="19"/>
        <v>33.782267115600447</v>
      </c>
      <c r="P56" s="3">
        <f t="shared" si="20"/>
        <v>2.3569023569023568</v>
      </c>
      <c r="Q56">
        <v>898</v>
      </c>
      <c r="R56">
        <v>42</v>
      </c>
      <c r="S56">
        <v>560</v>
      </c>
      <c r="T56" s="1">
        <f t="shared" si="21"/>
        <v>602</v>
      </c>
      <c r="U56" s="3">
        <f t="shared" si="22"/>
        <v>6.9767441860465116</v>
      </c>
      <c r="V56">
        <v>38</v>
      </c>
      <c r="W56" s="3">
        <f t="shared" si="23"/>
        <v>6.3122923588039868</v>
      </c>
      <c r="X56">
        <v>564</v>
      </c>
      <c r="Y56">
        <v>0</v>
      </c>
      <c r="Z56">
        <v>0</v>
      </c>
      <c r="AA56">
        <v>19</v>
      </c>
      <c r="AB56" s="3">
        <f t="shared" si="24"/>
        <v>3.1561461794019934</v>
      </c>
      <c r="AC56">
        <v>31</v>
      </c>
      <c r="AD56" s="3">
        <f t="shared" si="25"/>
        <v>5.1495016611295679</v>
      </c>
      <c r="AE56">
        <v>46</v>
      </c>
      <c r="AF56" s="3">
        <f t="shared" si="26"/>
        <v>7.6411960132890364</v>
      </c>
      <c r="AG56">
        <v>192</v>
      </c>
      <c r="AH56" s="3">
        <f t="shared" si="27"/>
        <v>31.893687707641195</v>
      </c>
      <c r="AI56">
        <v>35</v>
      </c>
      <c r="AJ56" s="3">
        <f t="shared" si="28"/>
        <v>5.8139534883720927</v>
      </c>
      <c r="AK56">
        <v>41</v>
      </c>
      <c r="AL56" s="3">
        <f t="shared" si="29"/>
        <v>6.8106312292358808</v>
      </c>
      <c r="AM56">
        <v>16</v>
      </c>
      <c r="AN56" s="3">
        <f t="shared" si="30"/>
        <v>2.6578073089700998</v>
      </c>
      <c r="AO56">
        <v>145</v>
      </c>
      <c r="AP56" s="3">
        <f t="shared" si="31"/>
        <v>24.08637873754153</v>
      </c>
      <c r="AQ56">
        <v>25</v>
      </c>
      <c r="AR56" s="3">
        <f t="shared" si="32"/>
        <v>4.1528239202657806</v>
      </c>
      <c r="AS56">
        <v>14</v>
      </c>
      <c r="AT56" s="3">
        <f t="shared" si="33"/>
        <v>2.3255813953488373</v>
      </c>
      <c r="AU56" t="s">
        <v>314</v>
      </c>
      <c r="AV56" s="72">
        <f>Дума_партии[[#This Row],[КОИБ]]</f>
        <v>2017</v>
      </c>
      <c r="AW56" s="1" t="str">
        <f>IF(Дума_партии[[#This Row],[Наблюдателей]]=0,"",Дума_партии[[#This Row],[Наблюдателей]])</f>
        <v/>
      </c>
      <c r="AX56"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48.76454293628808</v>
      </c>
      <c r="AY56" s="10">
        <f>2*(Дума_одномандатный[[#This Row],[Майданов Денис Васильевич]]-(AC$203/100)*Дума_одномандатный[[#This Row],[Число действительных избирательных бюллетеней]])</f>
        <v>70.415999999999997</v>
      </c>
      <c r="AZ56" s="10">
        <f>(Дума_одномандатный[[#This Row],[Вброс]]+Дума_одномандатный[[#This Row],[Перекладывание]])/2</f>
        <v>59.590271468144039</v>
      </c>
    </row>
    <row r="57" spans="1:52" x14ac:dyDescent="0.4">
      <c r="A57" t="s">
        <v>49</v>
      </c>
      <c r="B57" t="s">
        <v>50</v>
      </c>
      <c r="C57" t="s">
        <v>51</v>
      </c>
      <c r="D57" t="s">
        <v>138</v>
      </c>
      <c r="E57" t="s">
        <v>185</v>
      </c>
      <c r="F57" s="1">
        <f t="shared" ca="1" si="18"/>
        <v>3929</v>
      </c>
      <c r="G57" s="8" t="str">
        <f>Дума_партии[[#This Row],[Местоположение]]</f>
        <v>Лесной Городок</v>
      </c>
      <c r="H57" s="2" t="str">
        <f>LEFT(Дума_одномандатный[[#This Row],[tik]],4)&amp;"."&amp;IF(ISNUMBER(VALUE(RIGHT(Дума_одномандатный[[#This Row],[tik]]))),RIGHT(Дума_одномандатный[[#This Row],[tik]]),"")</f>
        <v>Один.</v>
      </c>
      <c r="I57">
        <v>1457</v>
      </c>
      <c r="J57" s="8">
        <f>Дума_одномандатный[[#This Row],[Число избирателей, внесенных в список избирателей на момент окончания голосования]]</f>
        <v>1457</v>
      </c>
      <c r="K57">
        <v>1300</v>
      </c>
      <c r="L57">
        <v>0</v>
      </c>
      <c r="M57">
        <v>484</v>
      </c>
      <c r="N57">
        <v>5</v>
      </c>
      <c r="O57" s="3">
        <f t="shared" si="19"/>
        <v>33.562113932738505</v>
      </c>
      <c r="P57" s="3">
        <f t="shared" si="20"/>
        <v>0.34317089910775567</v>
      </c>
      <c r="Q57">
        <v>811</v>
      </c>
      <c r="R57">
        <v>5</v>
      </c>
      <c r="S57">
        <v>484</v>
      </c>
      <c r="T57" s="1">
        <f t="shared" si="21"/>
        <v>489</v>
      </c>
      <c r="U57" s="3">
        <f t="shared" si="22"/>
        <v>1.0224948875255624</v>
      </c>
      <c r="V57">
        <v>25</v>
      </c>
      <c r="W57" s="3">
        <f t="shared" si="23"/>
        <v>5.112474437627812</v>
      </c>
      <c r="X57">
        <v>464</v>
      </c>
      <c r="Y57">
        <v>0</v>
      </c>
      <c r="Z57">
        <v>0</v>
      </c>
      <c r="AA57">
        <v>19</v>
      </c>
      <c r="AB57" s="3">
        <f t="shared" si="24"/>
        <v>3.8854805725971371</v>
      </c>
      <c r="AC57">
        <v>18</v>
      </c>
      <c r="AD57" s="3">
        <f t="shared" si="25"/>
        <v>3.6809815950920246</v>
      </c>
      <c r="AE57">
        <v>51</v>
      </c>
      <c r="AF57" s="3">
        <f t="shared" si="26"/>
        <v>10.429447852760736</v>
      </c>
      <c r="AG57">
        <v>135</v>
      </c>
      <c r="AH57" s="3">
        <f t="shared" si="27"/>
        <v>27.607361963190183</v>
      </c>
      <c r="AI57">
        <v>27</v>
      </c>
      <c r="AJ57" s="3">
        <f t="shared" si="28"/>
        <v>5.5214723926380369</v>
      </c>
      <c r="AK57">
        <v>48</v>
      </c>
      <c r="AL57" s="3">
        <f t="shared" si="29"/>
        <v>9.8159509202453989</v>
      </c>
      <c r="AM57">
        <v>20</v>
      </c>
      <c r="AN57" s="3">
        <f t="shared" si="30"/>
        <v>4.0899795501022496</v>
      </c>
      <c r="AO57">
        <v>114</v>
      </c>
      <c r="AP57" s="3">
        <f t="shared" si="31"/>
        <v>23.312883435582823</v>
      </c>
      <c r="AQ57">
        <v>18</v>
      </c>
      <c r="AR57" s="3">
        <f t="shared" si="32"/>
        <v>3.6809815950920246</v>
      </c>
      <c r="AS57">
        <v>14</v>
      </c>
      <c r="AT57" s="3">
        <f t="shared" si="33"/>
        <v>2.8629856850715747</v>
      </c>
      <c r="AU57" t="s">
        <v>314</v>
      </c>
      <c r="AV57" s="72">
        <f>Дума_партии[[#This Row],[КОИБ]]</f>
        <v>2017</v>
      </c>
      <c r="AW57" s="1" t="str">
        <f>IF(Дума_партии[[#This Row],[Наблюдателей]]=0,"",Дума_партии[[#This Row],[Наблюдателей]])</f>
        <v/>
      </c>
      <c r="AX57"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8.3213296398891856</v>
      </c>
      <c r="AY57" s="10">
        <f>2*(Дума_одномандатный[[#This Row],[Майданов Денис Васильевич]]-(AC$203/100)*Дума_одномандатный[[#This Row],[Число действительных избирательных бюллетеней]])</f>
        <v>12.015999999999963</v>
      </c>
      <c r="AZ57" s="10">
        <f>(Дума_одномандатный[[#This Row],[Вброс]]+Дума_одномандатный[[#This Row],[Перекладывание]])/2</f>
        <v>10.168664819944574</v>
      </c>
    </row>
    <row r="58" spans="1:52" x14ac:dyDescent="0.4">
      <c r="A58" t="s">
        <v>49</v>
      </c>
      <c r="B58" t="s">
        <v>50</v>
      </c>
      <c r="C58" t="s">
        <v>51</v>
      </c>
      <c r="D58" t="s">
        <v>138</v>
      </c>
      <c r="E58" t="s">
        <v>186</v>
      </c>
      <c r="F58" s="1">
        <f t="shared" ca="1" si="18"/>
        <v>3930</v>
      </c>
      <c r="G58" s="8" t="str">
        <f>Дума_партии[[#This Row],[Местоположение]]</f>
        <v>Лесной Городок</v>
      </c>
      <c r="H58" s="2" t="str">
        <f>LEFT(Дума_одномандатный[[#This Row],[tik]],4)&amp;"."&amp;IF(ISNUMBER(VALUE(RIGHT(Дума_одномандатный[[#This Row],[tik]]))),RIGHT(Дума_одномандатный[[#This Row],[tik]]),"")</f>
        <v>Один.</v>
      </c>
      <c r="I58">
        <v>1498</v>
      </c>
      <c r="J58" s="8">
        <f>Дума_одномандатный[[#This Row],[Число избирателей, внесенных в список избирателей на момент окончания голосования]]</f>
        <v>1498</v>
      </c>
      <c r="K58">
        <v>1300</v>
      </c>
      <c r="L58">
        <v>0</v>
      </c>
      <c r="M58">
        <v>537</v>
      </c>
      <c r="N58">
        <v>122</v>
      </c>
      <c r="O58" s="3">
        <f t="shared" si="19"/>
        <v>43.99198931909212</v>
      </c>
      <c r="P58" s="3">
        <f t="shared" si="20"/>
        <v>8.144192256341789</v>
      </c>
      <c r="Q58">
        <v>641</v>
      </c>
      <c r="R58">
        <v>122</v>
      </c>
      <c r="S58">
        <v>537</v>
      </c>
      <c r="T58" s="1">
        <f t="shared" si="21"/>
        <v>659</v>
      </c>
      <c r="U58" s="3">
        <f t="shared" si="22"/>
        <v>18.512898330804248</v>
      </c>
      <c r="V58">
        <v>22</v>
      </c>
      <c r="W58" s="3">
        <f t="shared" si="23"/>
        <v>3.3383915022761759</v>
      </c>
      <c r="X58">
        <v>637</v>
      </c>
      <c r="Y58">
        <v>0</v>
      </c>
      <c r="Z58">
        <v>0</v>
      </c>
      <c r="AA58">
        <v>33</v>
      </c>
      <c r="AB58" s="3">
        <f t="shared" si="24"/>
        <v>5.0075872534142638</v>
      </c>
      <c r="AC58">
        <v>32</v>
      </c>
      <c r="AD58" s="3">
        <f t="shared" si="25"/>
        <v>4.8558421851289832</v>
      </c>
      <c r="AE58">
        <v>47</v>
      </c>
      <c r="AF58" s="3">
        <f t="shared" si="26"/>
        <v>7.1320182094081943</v>
      </c>
      <c r="AG58">
        <v>257</v>
      </c>
      <c r="AH58" s="3">
        <f t="shared" si="27"/>
        <v>38.998482549317146</v>
      </c>
      <c r="AI58">
        <v>30</v>
      </c>
      <c r="AJ58" s="3">
        <f t="shared" si="28"/>
        <v>4.5523520485584221</v>
      </c>
      <c r="AK58">
        <v>33</v>
      </c>
      <c r="AL58" s="3">
        <f t="shared" si="29"/>
        <v>5.0075872534142638</v>
      </c>
      <c r="AM58">
        <v>17</v>
      </c>
      <c r="AN58" s="3">
        <f t="shared" si="30"/>
        <v>2.5796661608497722</v>
      </c>
      <c r="AO58">
        <v>147</v>
      </c>
      <c r="AP58" s="3">
        <f t="shared" si="31"/>
        <v>22.306525037936268</v>
      </c>
      <c r="AQ58">
        <v>23</v>
      </c>
      <c r="AR58" s="3">
        <f t="shared" si="32"/>
        <v>3.4901365705614569</v>
      </c>
      <c r="AS58">
        <v>18</v>
      </c>
      <c r="AT58" s="3">
        <f t="shared" si="33"/>
        <v>2.7314112291350532</v>
      </c>
      <c r="AU58" t="s">
        <v>314</v>
      </c>
      <c r="AV58" s="72">
        <f>Дума_партии[[#This Row],[КОИБ]]</f>
        <v>2017</v>
      </c>
      <c r="AW58" s="1">
        <f>IF(Дума_партии[[#This Row],[Наблюдателей]]=0,"",Дума_партии[[#This Row],[Наблюдателей]])</f>
        <v>1</v>
      </c>
      <c r="AX58"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110.68421052631578</v>
      </c>
      <c r="AY58" s="10">
        <f>2*(Дума_одномандатный[[#This Row],[Майданов Денис Васильевич]]-(AC$203/100)*Дума_одномандатный[[#This Row],[Число действительных избирательных бюллетеней]])</f>
        <v>159.82799999999997</v>
      </c>
      <c r="AZ58" s="10">
        <f>(Дума_одномандатный[[#This Row],[Вброс]]+Дума_одномандатный[[#This Row],[Перекладывание]])/2</f>
        <v>135.25610526315788</v>
      </c>
    </row>
    <row r="59" spans="1:52" x14ac:dyDescent="0.4">
      <c r="A59" t="s">
        <v>49</v>
      </c>
      <c r="B59" t="s">
        <v>50</v>
      </c>
      <c r="C59" t="s">
        <v>51</v>
      </c>
      <c r="D59" t="s">
        <v>138</v>
      </c>
      <c r="E59" t="s">
        <v>187</v>
      </c>
      <c r="F59" s="1">
        <f t="shared" ca="1" si="18"/>
        <v>3931</v>
      </c>
      <c r="G59" s="8" t="str">
        <f>Дума_партии[[#This Row],[Местоположение]]</f>
        <v>Лесной Городок</v>
      </c>
      <c r="H59" s="2" t="str">
        <f>LEFT(Дума_одномандатный[[#This Row],[tik]],4)&amp;"."&amp;IF(ISNUMBER(VALUE(RIGHT(Дума_одномандатный[[#This Row],[tik]]))),RIGHT(Дума_одномандатный[[#This Row],[tik]]),"")</f>
        <v>Один.</v>
      </c>
      <c r="I59">
        <v>2664</v>
      </c>
      <c r="J59" s="8">
        <f>Дума_одномандатный[[#This Row],[Число избирателей, внесенных в список избирателей на момент окончания голосования]]</f>
        <v>2664</v>
      </c>
      <c r="K59">
        <v>2000</v>
      </c>
      <c r="L59">
        <v>0</v>
      </c>
      <c r="M59">
        <v>895</v>
      </c>
      <c r="N59">
        <v>46</v>
      </c>
      <c r="O59" s="3">
        <f t="shared" si="19"/>
        <v>35.322822822822822</v>
      </c>
      <c r="P59" s="3">
        <f t="shared" si="20"/>
        <v>1.7267267267267268</v>
      </c>
      <c r="Q59">
        <v>1059</v>
      </c>
      <c r="R59">
        <v>46</v>
      </c>
      <c r="S59">
        <v>895</v>
      </c>
      <c r="T59" s="1">
        <f t="shared" si="21"/>
        <v>941</v>
      </c>
      <c r="U59" s="3">
        <f t="shared" si="22"/>
        <v>4.8884165781083952</v>
      </c>
      <c r="V59">
        <v>55</v>
      </c>
      <c r="W59" s="3">
        <f t="shared" si="23"/>
        <v>5.8448459086078639</v>
      </c>
      <c r="X59">
        <v>886</v>
      </c>
      <c r="Y59">
        <v>0</v>
      </c>
      <c r="Z59">
        <v>0</v>
      </c>
      <c r="AA59">
        <v>33</v>
      </c>
      <c r="AB59" s="3">
        <f t="shared" si="24"/>
        <v>3.5069075451647183</v>
      </c>
      <c r="AC59">
        <v>62</v>
      </c>
      <c r="AD59" s="3">
        <f t="shared" si="25"/>
        <v>6.5887353878852286</v>
      </c>
      <c r="AE59">
        <v>83</v>
      </c>
      <c r="AF59" s="3">
        <f t="shared" si="26"/>
        <v>8.8204038257173227</v>
      </c>
      <c r="AG59">
        <v>257</v>
      </c>
      <c r="AH59" s="3">
        <f t="shared" si="27"/>
        <v>27.311370882040382</v>
      </c>
      <c r="AI59">
        <v>55</v>
      </c>
      <c r="AJ59" s="3">
        <f t="shared" si="28"/>
        <v>5.8448459086078639</v>
      </c>
      <c r="AK59">
        <v>55</v>
      </c>
      <c r="AL59" s="3">
        <f t="shared" si="29"/>
        <v>5.8448459086078639</v>
      </c>
      <c r="AM59">
        <v>22</v>
      </c>
      <c r="AN59" s="3">
        <f t="shared" si="30"/>
        <v>2.3379383634431457</v>
      </c>
      <c r="AO59">
        <v>271</v>
      </c>
      <c r="AP59" s="3">
        <f t="shared" si="31"/>
        <v>28.79914984059511</v>
      </c>
      <c r="AQ59">
        <v>31</v>
      </c>
      <c r="AR59" s="3">
        <f t="shared" si="32"/>
        <v>3.2943676939426143</v>
      </c>
      <c r="AS59">
        <v>17</v>
      </c>
      <c r="AT59" s="3">
        <f t="shared" si="33"/>
        <v>1.8065887353878853</v>
      </c>
      <c r="AU59" t="s">
        <v>314</v>
      </c>
      <c r="AV59" s="72">
        <f>Дума_партии[[#This Row],[КОИБ]]</f>
        <v>2017</v>
      </c>
      <c r="AW59" s="1" t="str">
        <f>IF(Дума_партии[[#This Row],[Наблюдателей]]=0,"",Дума_партии[[#This Row],[Наблюдателей]])</f>
        <v/>
      </c>
      <c r="AX59"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14.808864265927951</v>
      </c>
      <c r="AY59" s="10">
        <f>2*(Дума_одномандатный[[#This Row],[Майданов Денис Васильевич]]-(AC$203/100)*Дума_одномандатный[[#This Row],[Число действительных избирательных бюллетеней]])</f>
        <v>21.383999999999958</v>
      </c>
      <c r="AZ59" s="10">
        <f>(Дума_одномандатный[[#This Row],[Вброс]]+Дума_одномандатный[[#This Row],[Перекладывание]])/2</f>
        <v>18.096432132963955</v>
      </c>
    </row>
    <row r="60" spans="1:52" x14ac:dyDescent="0.4">
      <c r="A60" t="s">
        <v>49</v>
      </c>
      <c r="B60" t="s">
        <v>50</v>
      </c>
      <c r="C60" t="s">
        <v>51</v>
      </c>
      <c r="D60" t="s">
        <v>138</v>
      </c>
      <c r="E60" t="s">
        <v>188</v>
      </c>
      <c r="F60" s="1">
        <f t="shared" ca="1" si="18"/>
        <v>3932</v>
      </c>
      <c r="G60" s="8" t="str">
        <f>Дума_партии[[#This Row],[Местоположение]]</f>
        <v>пос. ВНИИССОК</v>
      </c>
      <c r="H60" s="2" t="str">
        <f>LEFT(Дума_одномандатный[[#This Row],[tik]],4)&amp;"."&amp;IF(ISNUMBER(VALUE(RIGHT(Дума_одномандатный[[#This Row],[tik]]))),RIGHT(Дума_одномандатный[[#This Row],[tik]]),"")</f>
        <v>Один.</v>
      </c>
      <c r="I60">
        <v>2795</v>
      </c>
      <c r="J60" s="8">
        <f>Дума_одномандатный[[#This Row],[Число избирателей, внесенных в список избирателей на момент окончания голосования]]</f>
        <v>2795</v>
      </c>
      <c r="K60">
        <v>2500</v>
      </c>
      <c r="L60">
        <v>0</v>
      </c>
      <c r="M60">
        <v>704</v>
      </c>
      <c r="N60">
        <v>94</v>
      </c>
      <c r="O60" s="3">
        <f t="shared" si="19"/>
        <v>28.550983899821109</v>
      </c>
      <c r="P60" s="3">
        <f t="shared" si="20"/>
        <v>3.363148479427549</v>
      </c>
      <c r="Q60">
        <v>1702</v>
      </c>
      <c r="R60">
        <v>94</v>
      </c>
      <c r="S60">
        <v>704</v>
      </c>
      <c r="T60" s="1">
        <f t="shared" si="21"/>
        <v>798</v>
      </c>
      <c r="U60" s="3">
        <f t="shared" si="22"/>
        <v>11.779448621553884</v>
      </c>
      <c r="V60">
        <v>27</v>
      </c>
      <c r="W60" s="3">
        <f t="shared" si="23"/>
        <v>3.3834586466165413</v>
      </c>
      <c r="X60">
        <v>771</v>
      </c>
      <c r="Y60">
        <v>0</v>
      </c>
      <c r="Z60">
        <v>0</v>
      </c>
      <c r="AA60">
        <v>38</v>
      </c>
      <c r="AB60" s="3">
        <f t="shared" si="24"/>
        <v>4.7619047619047619</v>
      </c>
      <c r="AC60">
        <v>58</v>
      </c>
      <c r="AD60" s="3">
        <f t="shared" si="25"/>
        <v>7.2681704260651632</v>
      </c>
      <c r="AE60">
        <v>63</v>
      </c>
      <c r="AF60" s="3">
        <f t="shared" si="26"/>
        <v>7.8947368421052628</v>
      </c>
      <c r="AG60">
        <v>297</v>
      </c>
      <c r="AH60" s="3">
        <f t="shared" si="27"/>
        <v>37.218045112781958</v>
      </c>
      <c r="AI60">
        <v>32</v>
      </c>
      <c r="AJ60" s="3">
        <f t="shared" si="28"/>
        <v>4.0100250626566414</v>
      </c>
      <c r="AK60">
        <v>32</v>
      </c>
      <c r="AL60" s="3">
        <f t="shared" si="29"/>
        <v>4.0100250626566414</v>
      </c>
      <c r="AM60">
        <v>26</v>
      </c>
      <c r="AN60" s="3">
        <f t="shared" si="30"/>
        <v>3.2581453634085213</v>
      </c>
      <c r="AO60">
        <v>196</v>
      </c>
      <c r="AP60" s="3">
        <f t="shared" si="31"/>
        <v>24.561403508771932</v>
      </c>
      <c r="AQ60">
        <v>13</v>
      </c>
      <c r="AR60" s="3">
        <f t="shared" si="32"/>
        <v>1.6290726817042607</v>
      </c>
      <c r="AS60">
        <v>16</v>
      </c>
      <c r="AT60" s="3">
        <f t="shared" si="33"/>
        <v>2.0050125313283207</v>
      </c>
      <c r="AU60" t="s">
        <v>314</v>
      </c>
      <c r="AV60" s="72">
        <f>Дума_партии[[#This Row],[КОИБ]]</f>
        <v>2017</v>
      </c>
      <c r="AW60" s="1" t="str">
        <f>IF(Дума_партии[[#This Row],[Наблюдателей]]=0,"",Дума_партии[[#This Row],[Наблюдателей]])</f>
        <v/>
      </c>
      <c r="AX60"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114.49030470914124</v>
      </c>
      <c r="AY60" s="10">
        <f>2*(Дума_одномандатный[[#This Row],[Майданов Денис Васильевич]]-(AC$203/100)*Дума_одномандатный[[#This Row],[Число действительных избирательных бюллетеней]])</f>
        <v>165.32399999999996</v>
      </c>
      <c r="AZ60" s="10">
        <f>(Дума_одномандатный[[#This Row],[Вброс]]+Дума_одномандатный[[#This Row],[Перекладывание]])/2</f>
        <v>139.9071523545706</v>
      </c>
    </row>
    <row r="61" spans="1:52" x14ac:dyDescent="0.4">
      <c r="A61" t="s">
        <v>49</v>
      </c>
      <c r="B61" t="s">
        <v>50</v>
      </c>
      <c r="C61" t="s">
        <v>51</v>
      </c>
      <c r="D61" t="s">
        <v>138</v>
      </c>
      <c r="E61" t="s">
        <v>189</v>
      </c>
      <c r="F61" s="1">
        <f t="shared" ca="1" si="18"/>
        <v>3933</v>
      </c>
      <c r="G61" s="8" t="str">
        <f>Дума_партии[[#This Row],[Местоположение]]</f>
        <v>пос. ВНИИССОК</v>
      </c>
      <c r="H61" s="2" t="str">
        <f>LEFT(Дума_одномандатный[[#This Row],[tik]],4)&amp;"."&amp;IF(ISNUMBER(VALUE(RIGHT(Дума_одномандатный[[#This Row],[tik]]))),RIGHT(Дума_одномандатный[[#This Row],[tik]]),"")</f>
        <v>Один.</v>
      </c>
      <c r="I61">
        <v>2603</v>
      </c>
      <c r="J61" s="8">
        <f>Дума_одномандатный[[#This Row],[Число избирателей, внесенных в список избирателей на момент окончания голосования]]</f>
        <v>2603</v>
      </c>
      <c r="K61">
        <v>2000</v>
      </c>
      <c r="L61">
        <v>0</v>
      </c>
      <c r="M61">
        <v>861</v>
      </c>
      <c r="N61">
        <v>192</v>
      </c>
      <c r="O61" s="3">
        <f t="shared" si="19"/>
        <v>40.453323088743758</v>
      </c>
      <c r="P61" s="3">
        <f t="shared" si="20"/>
        <v>7.3761044948136769</v>
      </c>
      <c r="Q61">
        <v>947</v>
      </c>
      <c r="R61">
        <v>192</v>
      </c>
      <c r="S61">
        <v>861</v>
      </c>
      <c r="T61" s="1">
        <f t="shared" si="21"/>
        <v>1053</v>
      </c>
      <c r="U61" s="3">
        <f t="shared" si="22"/>
        <v>18.233618233618234</v>
      </c>
      <c r="V61">
        <v>103</v>
      </c>
      <c r="W61" s="3">
        <f t="shared" si="23"/>
        <v>9.7815764482431149</v>
      </c>
      <c r="X61">
        <v>950</v>
      </c>
      <c r="Y61">
        <v>0</v>
      </c>
      <c r="Z61">
        <v>0</v>
      </c>
      <c r="AA61">
        <v>36</v>
      </c>
      <c r="AB61" s="3">
        <f t="shared" si="24"/>
        <v>3.4188034188034186</v>
      </c>
      <c r="AC61">
        <v>42</v>
      </c>
      <c r="AD61" s="3">
        <f t="shared" si="25"/>
        <v>3.9886039886039888</v>
      </c>
      <c r="AE61">
        <v>87</v>
      </c>
      <c r="AF61" s="3">
        <f t="shared" si="26"/>
        <v>8.2621082621082618</v>
      </c>
      <c r="AG61">
        <v>331</v>
      </c>
      <c r="AH61" s="3">
        <f t="shared" si="27"/>
        <v>31.433998100664766</v>
      </c>
      <c r="AI61">
        <v>62</v>
      </c>
      <c r="AJ61" s="3">
        <f t="shared" si="28"/>
        <v>5.8879392212725543</v>
      </c>
      <c r="AK61">
        <v>79</v>
      </c>
      <c r="AL61" s="3">
        <f t="shared" si="29"/>
        <v>7.5023741690408361</v>
      </c>
      <c r="AM61">
        <v>18</v>
      </c>
      <c r="AN61" s="3">
        <f t="shared" si="30"/>
        <v>1.7094017094017093</v>
      </c>
      <c r="AO61">
        <v>243</v>
      </c>
      <c r="AP61" s="3">
        <f t="shared" si="31"/>
        <v>23.076923076923077</v>
      </c>
      <c r="AQ61">
        <v>32</v>
      </c>
      <c r="AR61" s="3">
        <f t="shared" si="32"/>
        <v>3.0389363722697058</v>
      </c>
      <c r="AS61">
        <v>20</v>
      </c>
      <c r="AT61" s="3">
        <f t="shared" si="33"/>
        <v>1.899335232668566</v>
      </c>
      <c r="AU61" t="s">
        <v>314</v>
      </c>
      <c r="AV61" s="72">
        <f>Дума_партии[[#This Row],[КОИБ]]</f>
        <v>2017</v>
      </c>
      <c r="AW61" s="1" t="str">
        <f>IF(Дума_партии[[#This Row],[Наблюдателей]]=0,"",Дума_партии[[#This Row],[Наблюдателей]])</f>
        <v/>
      </c>
      <c r="AX61"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92.659279778393312</v>
      </c>
      <c r="AY61" s="10">
        <f>2*(Дума_одномандатный[[#This Row],[Майданов Денис Васильевич]]-(AC$203/100)*Дума_одномандатный[[#This Row],[Число действительных избирательных бюллетеней]])</f>
        <v>133.79999999999995</v>
      </c>
      <c r="AZ61" s="10">
        <f>(Дума_одномандатный[[#This Row],[Вброс]]+Дума_одномандатный[[#This Row],[Перекладывание]])/2</f>
        <v>113.22963988919663</v>
      </c>
    </row>
    <row r="62" spans="1:52" x14ac:dyDescent="0.4">
      <c r="A62" t="s">
        <v>49</v>
      </c>
      <c r="B62" t="s">
        <v>50</v>
      </c>
      <c r="C62" t="s">
        <v>51</v>
      </c>
      <c r="D62" t="s">
        <v>138</v>
      </c>
      <c r="E62" t="s">
        <v>190</v>
      </c>
      <c r="F62" s="1">
        <f t="shared" ca="1" si="18"/>
        <v>3936</v>
      </c>
      <c r="G62" s="8" t="str">
        <f>Дума_партии[[#This Row],[Местоположение]]</f>
        <v>пос. ВНИИССОК</v>
      </c>
      <c r="H62" s="2" t="str">
        <f>LEFT(Дума_одномандатный[[#This Row],[tik]],4)&amp;"."&amp;IF(ISNUMBER(VALUE(RIGHT(Дума_одномандатный[[#This Row],[tik]]))),RIGHT(Дума_одномандатный[[#This Row],[tik]]),"")</f>
        <v>Один.</v>
      </c>
      <c r="I62">
        <v>1651</v>
      </c>
      <c r="J62" s="8">
        <f>Дума_одномандатный[[#This Row],[Число избирателей, внесенных в список избирателей на момент окончания голосования]]</f>
        <v>1651</v>
      </c>
      <c r="K62">
        <v>1500</v>
      </c>
      <c r="L62">
        <v>0</v>
      </c>
      <c r="M62">
        <v>631</v>
      </c>
      <c r="N62">
        <v>6</v>
      </c>
      <c r="O62" s="3">
        <f t="shared" si="19"/>
        <v>38.582677165354333</v>
      </c>
      <c r="P62" s="3">
        <f t="shared" si="20"/>
        <v>0.36341611144760749</v>
      </c>
      <c r="Q62">
        <v>863</v>
      </c>
      <c r="R62">
        <v>6</v>
      </c>
      <c r="S62">
        <v>607</v>
      </c>
      <c r="T62" s="1">
        <f t="shared" si="21"/>
        <v>613</v>
      </c>
      <c r="U62" s="3">
        <f t="shared" si="22"/>
        <v>0.97879282218597063</v>
      </c>
      <c r="V62">
        <v>21</v>
      </c>
      <c r="W62" s="3">
        <f t="shared" si="23"/>
        <v>3.4257748776508974</v>
      </c>
      <c r="X62">
        <v>592</v>
      </c>
      <c r="Y62">
        <v>0</v>
      </c>
      <c r="Z62">
        <v>0</v>
      </c>
      <c r="AA62">
        <v>18</v>
      </c>
      <c r="AB62" s="3">
        <f t="shared" si="24"/>
        <v>2.9363784665579118</v>
      </c>
      <c r="AC62">
        <v>40</v>
      </c>
      <c r="AD62" s="3">
        <f t="shared" si="25"/>
        <v>6.5252854812398047</v>
      </c>
      <c r="AE62">
        <v>43</v>
      </c>
      <c r="AF62" s="3">
        <f t="shared" si="26"/>
        <v>7.0146818923327894</v>
      </c>
      <c r="AG62">
        <v>186</v>
      </c>
      <c r="AH62" s="3">
        <f t="shared" si="27"/>
        <v>30.342577487765091</v>
      </c>
      <c r="AI62">
        <v>31</v>
      </c>
      <c r="AJ62" s="3">
        <f t="shared" si="28"/>
        <v>5.0570962479608479</v>
      </c>
      <c r="AK62">
        <v>28</v>
      </c>
      <c r="AL62" s="3">
        <f t="shared" si="29"/>
        <v>4.5676998368678632</v>
      </c>
      <c r="AM62">
        <v>17</v>
      </c>
      <c r="AN62" s="3">
        <f t="shared" si="30"/>
        <v>2.7732463295269167</v>
      </c>
      <c r="AO62">
        <v>195</v>
      </c>
      <c r="AP62" s="3">
        <f t="shared" si="31"/>
        <v>31.810766721044047</v>
      </c>
      <c r="AQ62">
        <v>24</v>
      </c>
      <c r="AR62" s="3">
        <f t="shared" si="32"/>
        <v>3.9151712887438825</v>
      </c>
      <c r="AS62">
        <v>10</v>
      </c>
      <c r="AT62" s="3">
        <f t="shared" si="33"/>
        <v>1.6313213703099512</v>
      </c>
      <c r="AU62" t="s">
        <v>314</v>
      </c>
      <c r="AV62" s="72" t="str">
        <f>Дума_партии[[#This Row],[КОИБ]]</f>
        <v>N</v>
      </c>
      <c r="AW62" s="1" t="str">
        <f>IF(Дума_партии[[#This Row],[Наблюдателей]]=0,"",Дума_партии[[#This Row],[Наблюдателей]])</f>
        <v/>
      </c>
      <c r="AX62"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29.673130193905791</v>
      </c>
      <c r="AY62" s="10">
        <f>2*(Дума_одномандатный[[#This Row],[Майданов Денис Васильевич]]-(AC$203/100)*Дума_одномандатный[[#This Row],[Число действительных избирательных бюллетеней]])</f>
        <v>42.847999999999956</v>
      </c>
      <c r="AZ62" s="10">
        <f>(Дума_одномандатный[[#This Row],[Вброс]]+Дума_одномандатный[[#This Row],[Перекладывание]])/2</f>
        <v>36.260565096952874</v>
      </c>
    </row>
    <row r="63" spans="1:52" x14ac:dyDescent="0.4">
      <c r="A63" t="s">
        <v>49</v>
      </c>
      <c r="B63" t="s">
        <v>50</v>
      </c>
      <c r="C63" t="s">
        <v>51</v>
      </c>
      <c r="D63" t="s">
        <v>138</v>
      </c>
      <c r="E63" t="s">
        <v>191</v>
      </c>
      <c r="F63" s="1">
        <f t="shared" ca="1" si="18"/>
        <v>3938</v>
      </c>
      <c r="G63" s="8" t="str">
        <f>Дума_партии[[#This Row],[Местоположение]]</f>
        <v>пос. ВНИИССОК</v>
      </c>
      <c r="H63" s="2" t="str">
        <f>LEFT(Дума_одномандатный[[#This Row],[tik]],4)&amp;"."&amp;IF(ISNUMBER(VALUE(RIGHT(Дума_одномандатный[[#This Row],[tik]]))),RIGHT(Дума_одномандатный[[#This Row],[tik]]),"")</f>
        <v>Один.</v>
      </c>
      <c r="I63">
        <v>1897</v>
      </c>
      <c r="J63" s="8">
        <f>Дума_одномандатный[[#This Row],[Число избирателей, внесенных в список избирателей на момент окончания голосования]]</f>
        <v>1897</v>
      </c>
      <c r="K63">
        <v>1500</v>
      </c>
      <c r="L63">
        <v>0</v>
      </c>
      <c r="M63">
        <v>785</v>
      </c>
      <c r="N63">
        <v>52</v>
      </c>
      <c r="O63" s="3">
        <f t="shared" si="19"/>
        <v>44.122298365840798</v>
      </c>
      <c r="P63" s="3">
        <f t="shared" si="20"/>
        <v>2.7411702688455457</v>
      </c>
      <c r="Q63">
        <v>663</v>
      </c>
      <c r="R63">
        <v>52</v>
      </c>
      <c r="S63">
        <v>785</v>
      </c>
      <c r="T63" s="1">
        <f t="shared" si="21"/>
        <v>837</v>
      </c>
      <c r="U63" s="3">
        <f t="shared" si="22"/>
        <v>6.2126642771804059</v>
      </c>
      <c r="V63">
        <v>23</v>
      </c>
      <c r="W63" s="3">
        <f t="shared" si="23"/>
        <v>2.7479091995221028</v>
      </c>
      <c r="X63">
        <v>814</v>
      </c>
      <c r="Y63">
        <v>0</v>
      </c>
      <c r="Z63">
        <v>0</v>
      </c>
      <c r="AA63">
        <v>13</v>
      </c>
      <c r="AB63" s="3">
        <f t="shared" si="24"/>
        <v>1.5531660692951015</v>
      </c>
      <c r="AC63">
        <v>38</v>
      </c>
      <c r="AD63" s="3">
        <f t="shared" si="25"/>
        <v>4.5400238948626042</v>
      </c>
      <c r="AE63">
        <v>39</v>
      </c>
      <c r="AF63" s="3">
        <f t="shared" si="26"/>
        <v>4.6594982078853047</v>
      </c>
      <c r="AG63">
        <v>479</v>
      </c>
      <c r="AH63" s="3">
        <f t="shared" si="27"/>
        <v>57.228195937873359</v>
      </c>
      <c r="AI63">
        <v>33</v>
      </c>
      <c r="AJ63" s="3">
        <f t="shared" si="28"/>
        <v>3.9426523297491038</v>
      </c>
      <c r="AK63">
        <v>21</v>
      </c>
      <c r="AL63" s="3">
        <f t="shared" si="29"/>
        <v>2.5089605734767026</v>
      </c>
      <c r="AM63">
        <v>20</v>
      </c>
      <c r="AN63" s="3">
        <f t="shared" si="30"/>
        <v>2.3894862604540026</v>
      </c>
      <c r="AO63">
        <v>149</v>
      </c>
      <c r="AP63" s="3">
        <f t="shared" si="31"/>
        <v>17.801672640382318</v>
      </c>
      <c r="AQ63">
        <v>0</v>
      </c>
      <c r="AR63" s="3">
        <f t="shared" si="32"/>
        <v>0</v>
      </c>
      <c r="AS63">
        <v>22</v>
      </c>
      <c r="AT63" s="3">
        <f t="shared" si="33"/>
        <v>2.6284348864994027</v>
      </c>
      <c r="AU63" t="s">
        <v>314</v>
      </c>
      <c r="AV63" s="72" t="str">
        <f>Дума_партии[[#This Row],[КОИБ]]</f>
        <v>N</v>
      </c>
      <c r="AW63" s="1" t="str">
        <f>IF(Дума_партии[[#This Row],[Наблюдателей]]=0,"",Дума_партии[[#This Row],[Наблюдателей]])</f>
        <v/>
      </c>
      <c r="AX63"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350.01108033240996</v>
      </c>
      <c r="AY63" s="10">
        <f>2*(Дума_одномандатный[[#This Row],[Майданов Денис Васильевич]]-(AC$203/100)*Дума_одномандатный[[#This Row],[Число действительных избирательных бюллетеней]])</f>
        <v>505.41599999999994</v>
      </c>
      <c r="AZ63" s="10">
        <f>(Дума_одномандатный[[#This Row],[Вброс]]+Дума_одномандатный[[#This Row],[Перекладывание]])/2</f>
        <v>427.71354016620495</v>
      </c>
    </row>
    <row r="64" spans="1:52" x14ac:dyDescent="0.4">
      <c r="A64" t="s">
        <v>49</v>
      </c>
      <c r="B64" t="s">
        <v>50</v>
      </c>
      <c r="C64" t="s">
        <v>51</v>
      </c>
      <c r="D64" t="s">
        <v>138</v>
      </c>
      <c r="E64" t="s">
        <v>192</v>
      </c>
      <c r="F64" s="1">
        <f t="shared" ca="1" si="18"/>
        <v>3939</v>
      </c>
      <c r="G64" s="8" t="str">
        <f>Дума_партии[[#This Row],[Местоположение]]</f>
        <v>пос. ВНИИССОК</v>
      </c>
      <c r="H64" s="2" t="str">
        <f>LEFT(Дума_одномандатный[[#This Row],[tik]],4)&amp;"."&amp;IF(ISNUMBER(VALUE(RIGHT(Дума_одномандатный[[#This Row],[tik]]))),RIGHT(Дума_одномандатный[[#This Row],[tik]]),"")</f>
        <v>Один.</v>
      </c>
      <c r="I64">
        <v>2020</v>
      </c>
      <c r="J64" s="8">
        <f>Дума_одномандатный[[#This Row],[Число избирателей, внесенных в список избирателей на момент окончания голосования]]</f>
        <v>2020</v>
      </c>
      <c r="K64">
        <v>1500</v>
      </c>
      <c r="L64">
        <v>0</v>
      </c>
      <c r="M64">
        <v>526</v>
      </c>
      <c r="N64">
        <v>7</v>
      </c>
      <c r="O64" s="3">
        <f t="shared" si="19"/>
        <v>26.386138613861387</v>
      </c>
      <c r="P64" s="3">
        <f t="shared" si="20"/>
        <v>0.34653465346534651</v>
      </c>
      <c r="Q64">
        <v>967</v>
      </c>
      <c r="R64">
        <v>7</v>
      </c>
      <c r="S64">
        <v>526</v>
      </c>
      <c r="T64" s="1">
        <f t="shared" si="21"/>
        <v>533</v>
      </c>
      <c r="U64" s="3">
        <f t="shared" si="22"/>
        <v>1.3133208255159474</v>
      </c>
      <c r="V64">
        <v>110</v>
      </c>
      <c r="W64" s="3">
        <f t="shared" si="23"/>
        <v>20.637898686679176</v>
      </c>
      <c r="X64">
        <v>423</v>
      </c>
      <c r="Y64">
        <v>0</v>
      </c>
      <c r="Z64">
        <v>0</v>
      </c>
      <c r="AA64">
        <v>14</v>
      </c>
      <c r="AB64" s="3">
        <f t="shared" si="24"/>
        <v>2.6266416510318948</v>
      </c>
      <c r="AC64">
        <v>31</v>
      </c>
      <c r="AD64" s="3">
        <f t="shared" si="25"/>
        <v>5.8161350844277671</v>
      </c>
      <c r="AE64">
        <v>40</v>
      </c>
      <c r="AF64" s="3">
        <f t="shared" si="26"/>
        <v>7.5046904315197001</v>
      </c>
      <c r="AG64">
        <v>108</v>
      </c>
      <c r="AH64" s="3">
        <f t="shared" si="27"/>
        <v>20.262664165103189</v>
      </c>
      <c r="AI64">
        <v>20</v>
      </c>
      <c r="AJ64" s="3">
        <f t="shared" si="28"/>
        <v>3.75234521575985</v>
      </c>
      <c r="AK64">
        <v>23</v>
      </c>
      <c r="AL64" s="3">
        <f t="shared" si="29"/>
        <v>4.3151969981238274</v>
      </c>
      <c r="AM64">
        <v>18</v>
      </c>
      <c r="AN64" s="3">
        <f t="shared" si="30"/>
        <v>3.3771106941838651</v>
      </c>
      <c r="AO64">
        <v>134</v>
      </c>
      <c r="AP64" s="3">
        <f t="shared" si="31"/>
        <v>25.140712945590995</v>
      </c>
      <c r="AQ64">
        <v>22</v>
      </c>
      <c r="AR64" s="3">
        <f t="shared" si="32"/>
        <v>4.1275797373358349</v>
      </c>
      <c r="AS64">
        <v>13</v>
      </c>
      <c r="AT64" s="3">
        <f t="shared" si="33"/>
        <v>2.4390243902439024</v>
      </c>
      <c r="AU64" t="s">
        <v>314</v>
      </c>
      <c r="AV64" s="72">
        <f>Дума_партии[[#This Row],[КОИБ]]</f>
        <v>2017</v>
      </c>
      <c r="AW64" s="1" t="str">
        <f>IF(Дума_партии[[#This Row],[Наблюдателей]]=0,"",Дума_партии[[#This Row],[Наблюдателей]])</f>
        <v/>
      </c>
      <c r="AX64"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-13.288088642659289</v>
      </c>
      <c r="AY64" s="10">
        <f>2*(Дума_одномандатный[[#This Row],[Майданов Денис Васильевич]]-(AC$203/100)*Дума_одномандатный[[#This Row],[Число действительных избирательных бюллетеней]])</f>
        <v>-19.188000000000017</v>
      </c>
      <c r="AZ64" s="10">
        <f>(Дума_одномандатный[[#This Row],[Вброс]]+Дума_одномандатный[[#This Row],[Перекладывание]])/2</f>
        <v>-16.238044321329653</v>
      </c>
    </row>
    <row r="65" spans="1:52" x14ac:dyDescent="0.4">
      <c r="A65" t="s">
        <v>49</v>
      </c>
      <c r="B65" t="s">
        <v>50</v>
      </c>
      <c r="C65" t="s">
        <v>51</v>
      </c>
      <c r="D65" t="s">
        <v>138</v>
      </c>
      <c r="E65" t="s">
        <v>193</v>
      </c>
      <c r="F65" s="1">
        <f t="shared" ca="1" si="18"/>
        <v>3945</v>
      </c>
      <c r="G65" s="8" t="str">
        <f>Дума_партии[[#This Row],[Местоположение]]</f>
        <v>Жуковка</v>
      </c>
      <c r="H65" s="2" t="str">
        <f>LEFT(Дума_одномандатный[[#This Row],[tik]],4)&amp;"."&amp;IF(ISNUMBER(VALUE(RIGHT(Дума_одномандатный[[#This Row],[tik]]))),RIGHT(Дума_одномандатный[[#This Row],[tik]]),"")</f>
        <v>Один.</v>
      </c>
      <c r="I65">
        <v>638</v>
      </c>
      <c r="J65" s="8">
        <f>Дума_одномандатный[[#This Row],[Число избирателей, внесенных в список избирателей на момент окончания голосования]]</f>
        <v>638</v>
      </c>
      <c r="K65">
        <v>500</v>
      </c>
      <c r="L65">
        <v>0</v>
      </c>
      <c r="M65">
        <v>139</v>
      </c>
      <c r="N65">
        <v>33</v>
      </c>
      <c r="O65" s="3">
        <f t="shared" si="19"/>
        <v>26.959247648902821</v>
      </c>
      <c r="P65" s="3">
        <f t="shared" si="20"/>
        <v>5.1724137931034484</v>
      </c>
      <c r="Q65">
        <v>328</v>
      </c>
      <c r="R65">
        <v>33</v>
      </c>
      <c r="S65">
        <v>139</v>
      </c>
      <c r="T65" s="1">
        <f t="shared" si="21"/>
        <v>172</v>
      </c>
      <c r="U65" s="3">
        <f t="shared" si="22"/>
        <v>19.186046511627907</v>
      </c>
      <c r="V65">
        <v>8</v>
      </c>
      <c r="W65" s="3">
        <f t="shared" si="23"/>
        <v>4.6511627906976747</v>
      </c>
      <c r="X65">
        <v>164</v>
      </c>
      <c r="Y65">
        <v>0</v>
      </c>
      <c r="Z65">
        <v>0</v>
      </c>
      <c r="AA65">
        <v>5</v>
      </c>
      <c r="AB65" s="3">
        <f t="shared" si="24"/>
        <v>2.9069767441860463</v>
      </c>
      <c r="AC65">
        <v>9</v>
      </c>
      <c r="AD65" s="3">
        <f t="shared" si="25"/>
        <v>5.2325581395348841</v>
      </c>
      <c r="AE65">
        <v>13</v>
      </c>
      <c r="AF65" s="3">
        <f t="shared" si="26"/>
        <v>7.558139534883721</v>
      </c>
      <c r="AG65">
        <v>41</v>
      </c>
      <c r="AH65" s="3">
        <f t="shared" si="27"/>
        <v>23.837209302325583</v>
      </c>
      <c r="AI65">
        <v>4</v>
      </c>
      <c r="AJ65" s="3">
        <f t="shared" si="28"/>
        <v>2.3255813953488373</v>
      </c>
      <c r="AK65">
        <v>2</v>
      </c>
      <c r="AL65" s="3">
        <f t="shared" si="29"/>
        <v>1.1627906976744187</v>
      </c>
      <c r="AM65">
        <v>5</v>
      </c>
      <c r="AN65" s="3">
        <f t="shared" si="30"/>
        <v>2.9069767441860463</v>
      </c>
      <c r="AO65">
        <v>74</v>
      </c>
      <c r="AP65" s="3">
        <f t="shared" si="31"/>
        <v>43.02325581395349</v>
      </c>
      <c r="AQ65">
        <v>5</v>
      </c>
      <c r="AR65" s="3">
        <f t="shared" si="32"/>
        <v>2.9069767441860463</v>
      </c>
      <c r="AS65">
        <v>6</v>
      </c>
      <c r="AT65" s="3">
        <f t="shared" si="33"/>
        <v>3.4883720930232558</v>
      </c>
      <c r="AU65" t="s">
        <v>314</v>
      </c>
      <c r="AV65" s="72">
        <f>Дума_партии[[#This Row],[КОИБ]]</f>
        <v>2017</v>
      </c>
      <c r="AW65" s="1">
        <f>IF(Дума_партии[[#This Row],[Наблюдателей]]=0,"",Дума_партии[[#This Row],[Наблюдателей]])</f>
        <v>2</v>
      </c>
      <c r="AX65"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-6.3601108033241047</v>
      </c>
      <c r="AY65" s="10">
        <f>2*(Дума_одномандатный[[#This Row],[Майданов Денис Васильевич]]-(AC$203/100)*Дума_одномандатный[[#This Row],[Число действительных избирательных бюллетеней]])</f>
        <v>-9.1840000000000117</v>
      </c>
      <c r="AZ65" s="10">
        <f>(Дума_одномандатный[[#This Row],[Вброс]]+Дума_одномандатный[[#This Row],[Перекладывание]])/2</f>
        <v>-7.7720554016620582</v>
      </c>
    </row>
    <row r="66" spans="1:52" x14ac:dyDescent="0.4">
      <c r="A66" t="s">
        <v>49</v>
      </c>
      <c r="B66" t="s">
        <v>50</v>
      </c>
      <c r="C66" t="s">
        <v>51</v>
      </c>
      <c r="D66" t="s">
        <v>138</v>
      </c>
      <c r="E66" t="s">
        <v>194</v>
      </c>
      <c r="F66" s="1">
        <f t="shared" ca="1" si="18"/>
        <v>3949</v>
      </c>
      <c r="G66" s="8" t="str">
        <f>Дума_партии[[#This Row],[Местоположение]]</f>
        <v>Дом отдыха «Огарёво»</v>
      </c>
      <c r="H66" s="2" t="str">
        <f>LEFT(Дума_одномандатный[[#This Row],[tik]],4)&amp;"."&amp;IF(ISNUMBER(VALUE(RIGHT(Дума_одномандатный[[#This Row],[tik]]))),RIGHT(Дума_одномандатный[[#This Row],[tik]]),"")</f>
        <v>Один.</v>
      </c>
      <c r="I66">
        <v>1470</v>
      </c>
      <c r="J66" s="8">
        <f>Дума_одномандатный[[#This Row],[Число избирателей, внесенных в список избирателей на момент окончания голосования]]</f>
        <v>1470</v>
      </c>
      <c r="K66">
        <v>1300</v>
      </c>
      <c r="L66">
        <v>0</v>
      </c>
      <c r="M66">
        <v>403</v>
      </c>
      <c r="N66">
        <v>25</v>
      </c>
      <c r="O66" s="3">
        <f t="shared" si="19"/>
        <v>29.1156462585034</v>
      </c>
      <c r="P66" s="3">
        <f t="shared" si="20"/>
        <v>1.7006802721088434</v>
      </c>
      <c r="Q66">
        <v>872</v>
      </c>
      <c r="R66">
        <v>25</v>
      </c>
      <c r="S66">
        <v>403</v>
      </c>
      <c r="T66" s="1">
        <f t="shared" si="21"/>
        <v>428</v>
      </c>
      <c r="U66" s="3">
        <f t="shared" si="22"/>
        <v>5.8411214953271031</v>
      </c>
      <c r="V66">
        <v>24</v>
      </c>
      <c r="W66" s="3">
        <f t="shared" si="23"/>
        <v>5.6074766355140184</v>
      </c>
      <c r="X66">
        <v>404</v>
      </c>
      <c r="Y66">
        <v>0</v>
      </c>
      <c r="Z66">
        <v>0</v>
      </c>
      <c r="AA66">
        <v>16</v>
      </c>
      <c r="AB66" s="3">
        <f t="shared" si="24"/>
        <v>3.7383177570093458</v>
      </c>
      <c r="AC66">
        <v>16</v>
      </c>
      <c r="AD66" s="3">
        <f t="shared" si="25"/>
        <v>3.7383177570093458</v>
      </c>
      <c r="AE66">
        <v>23</v>
      </c>
      <c r="AF66" s="3">
        <f t="shared" si="26"/>
        <v>5.3738317757009346</v>
      </c>
      <c r="AG66">
        <v>107</v>
      </c>
      <c r="AH66" s="3">
        <f t="shared" si="27"/>
        <v>25</v>
      </c>
      <c r="AI66">
        <v>11</v>
      </c>
      <c r="AJ66" s="3">
        <f t="shared" si="28"/>
        <v>2.5700934579439254</v>
      </c>
      <c r="AK66">
        <v>31</v>
      </c>
      <c r="AL66" s="3">
        <f t="shared" si="29"/>
        <v>7.2429906542056077</v>
      </c>
      <c r="AM66">
        <v>8</v>
      </c>
      <c r="AN66" s="3">
        <f t="shared" si="30"/>
        <v>1.8691588785046729</v>
      </c>
      <c r="AO66">
        <v>171</v>
      </c>
      <c r="AP66" s="3">
        <f t="shared" si="31"/>
        <v>39.953271028037385</v>
      </c>
      <c r="AQ66">
        <v>14</v>
      </c>
      <c r="AR66" s="3">
        <f t="shared" si="32"/>
        <v>3.2710280373831777</v>
      </c>
      <c r="AS66">
        <v>7</v>
      </c>
      <c r="AT66" s="3">
        <f t="shared" si="33"/>
        <v>1.6355140186915889</v>
      </c>
      <c r="AU66" t="s">
        <v>314</v>
      </c>
      <c r="AV66" s="72">
        <f>Дума_партии[[#This Row],[КОИБ]]</f>
        <v>2017</v>
      </c>
      <c r="AW66" s="1">
        <f>IF(Дума_партии[[#This Row],[Наблюдателей]]=0,"",Дума_партии[[#This Row],[Наблюдателей]])</f>
        <v>5</v>
      </c>
      <c r="AX66"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-7.3573407202216146</v>
      </c>
      <c r="AY66" s="10">
        <f>2*(Дума_одномандатный[[#This Row],[Майданов Денис Васильевич]]-(AC$203/100)*Дума_одномандатный[[#This Row],[Число действительных избирательных бюллетеней]])</f>
        <v>-10.624000000000024</v>
      </c>
      <c r="AZ66" s="10">
        <f>(Дума_одномандатный[[#This Row],[Вброс]]+Дума_одномандатный[[#This Row],[Перекладывание]])/2</f>
        <v>-8.9906703601108191</v>
      </c>
    </row>
    <row r="67" spans="1:52" x14ac:dyDescent="0.4">
      <c r="A67" t="s">
        <v>49</v>
      </c>
      <c r="B67" t="s">
        <v>50</v>
      </c>
      <c r="C67" t="s">
        <v>51</v>
      </c>
      <c r="D67" t="s">
        <v>138</v>
      </c>
      <c r="E67" t="s">
        <v>195</v>
      </c>
      <c r="F67" s="1">
        <f t="shared" ref="F67:F98" ca="1" si="34">SUMPRODUCT(MID(0&amp;E67, LARGE(INDEX(ISNUMBER(--MID(E67, ROW(INDIRECT("1:"&amp;LEN(E67))), 1)) * ROW(INDIRECT("1:"&amp;LEN(E67))), 0), ROW(INDIRECT("1:"&amp;LEN(E67))))+1, 1) * 10^ROW(INDIRECT("1:"&amp;LEN(E67)))/10)</f>
        <v>3950</v>
      </c>
      <c r="G67" s="8" t="str">
        <f>Дума_партии[[#This Row],[Местоположение]]</f>
        <v>Ершово</v>
      </c>
      <c r="H67" s="2" t="str">
        <f>LEFT(Дума_одномандатный[[#This Row],[tik]],4)&amp;"."&amp;IF(ISNUMBER(VALUE(RIGHT(Дума_одномандатный[[#This Row],[tik]]))),RIGHT(Дума_одномандатный[[#This Row],[tik]]),"")</f>
        <v>Один.</v>
      </c>
      <c r="I67">
        <v>2613</v>
      </c>
      <c r="J67" s="8">
        <f>Дума_одномандатный[[#This Row],[Число избирателей, внесенных в список избирателей на момент окончания голосования]]</f>
        <v>2613</v>
      </c>
      <c r="K67">
        <v>2000</v>
      </c>
      <c r="L67">
        <v>0</v>
      </c>
      <c r="M67">
        <v>1313</v>
      </c>
      <c r="N67">
        <v>193</v>
      </c>
      <c r="O67" s="3">
        <f t="shared" ref="O67:O98" si="35">100*(M67+N67)/I67</f>
        <v>57.634902411021812</v>
      </c>
      <c r="P67" s="3">
        <f t="shared" ref="P67:P98" si="36">100*N67/I67</f>
        <v>7.3861461921163416</v>
      </c>
      <c r="Q67">
        <v>494</v>
      </c>
      <c r="R67">
        <v>193</v>
      </c>
      <c r="S67">
        <v>1310</v>
      </c>
      <c r="T67" s="1">
        <f t="shared" ref="T67:T98" si="37">R67+S67</f>
        <v>1503</v>
      </c>
      <c r="U67" s="3">
        <f t="shared" ref="U67:U98" si="38">100*R67/T67</f>
        <v>12.840984697272122</v>
      </c>
      <c r="V67">
        <v>95</v>
      </c>
      <c r="W67" s="3">
        <f t="shared" ref="W67:W98" si="39">100*V67/T67</f>
        <v>6.3206919494344644</v>
      </c>
      <c r="X67">
        <v>1408</v>
      </c>
      <c r="Y67">
        <v>0</v>
      </c>
      <c r="Z67">
        <v>0</v>
      </c>
      <c r="AA67">
        <v>39</v>
      </c>
      <c r="AB67" s="3">
        <f t="shared" ref="AB67:AB98" si="40">100*AA67/$T67</f>
        <v>2.5948103792415171</v>
      </c>
      <c r="AC67">
        <v>65</v>
      </c>
      <c r="AD67" s="3">
        <f t="shared" ref="AD67:AD98" si="41">100*AC67/$T67</f>
        <v>4.324683965402528</v>
      </c>
      <c r="AE67">
        <v>79</v>
      </c>
      <c r="AF67" s="3">
        <f t="shared" ref="AF67:AF98" si="42">100*AE67/$T67</f>
        <v>5.2561543579507655</v>
      </c>
      <c r="AG67">
        <v>671</v>
      </c>
      <c r="AH67" s="3">
        <f t="shared" ref="AH67:AH98" si="43">100*AG67/$T67</f>
        <v>44.644045242847639</v>
      </c>
      <c r="AI67">
        <v>70</v>
      </c>
      <c r="AJ67" s="3">
        <f t="shared" ref="AJ67:AJ98" si="44">100*AI67/$T67</f>
        <v>4.6573519627411839</v>
      </c>
      <c r="AK67">
        <v>101</v>
      </c>
      <c r="AL67" s="3">
        <f t="shared" ref="AL67:AL98" si="45">100*AK67/$T67</f>
        <v>6.7198935462408516</v>
      </c>
      <c r="AM67">
        <v>26</v>
      </c>
      <c r="AN67" s="3">
        <f t="shared" ref="AN67:AN98" si="46">100*AM67/$T67</f>
        <v>1.7298735861610113</v>
      </c>
      <c r="AO67">
        <v>284</v>
      </c>
      <c r="AP67" s="3">
        <f t="shared" ref="AP67:AP98" si="47">100*AO67/$T67</f>
        <v>18.89554224883566</v>
      </c>
      <c r="AQ67">
        <v>58</v>
      </c>
      <c r="AR67" s="3">
        <f t="shared" ref="AR67:AR98" si="48">100*AQ67/$T67</f>
        <v>3.8589487691284097</v>
      </c>
      <c r="AS67">
        <v>15</v>
      </c>
      <c r="AT67" s="3">
        <f t="shared" ref="AT67:AT98" si="49">100*AS67/$T67</f>
        <v>0.99800399201596801</v>
      </c>
      <c r="AU67" t="s">
        <v>314</v>
      </c>
      <c r="AV67" s="72" t="str">
        <f>Дума_партии[[#This Row],[КОИБ]]</f>
        <v>N</v>
      </c>
      <c r="AW67" s="1" t="str">
        <f>IF(Дума_партии[[#This Row],[Наблюдателей]]=0,"",Дума_партии[[#This Row],[Наблюдателей]])</f>
        <v/>
      </c>
      <c r="AX67"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387.2243767313019</v>
      </c>
      <c r="AY67" s="10">
        <f>2*(Дума_одномандатный[[#This Row],[Майданов Денис Васильевич]]-(AC$203/100)*Дума_одномандатный[[#This Row],[Число действительных избирательных бюллетеней]])</f>
        <v>559.15199999999993</v>
      </c>
      <c r="AZ67" s="10">
        <f>(Дума_одномандатный[[#This Row],[Вброс]]+Дума_одномандатный[[#This Row],[Перекладывание]])/2</f>
        <v>473.18818836565094</v>
      </c>
    </row>
    <row r="68" spans="1:52" x14ac:dyDescent="0.4">
      <c r="A68" t="s">
        <v>49</v>
      </c>
      <c r="B68" t="s">
        <v>50</v>
      </c>
      <c r="C68" t="s">
        <v>51</v>
      </c>
      <c r="D68" t="s">
        <v>138</v>
      </c>
      <c r="E68" t="s">
        <v>196</v>
      </c>
      <c r="F68" s="1">
        <f t="shared" ca="1" si="34"/>
        <v>3952</v>
      </c>
      <c r="G68" s="8" t="str">
        <f>Дума_партии[[#This Row],[Местоположение]]</f>
        <v>военный городок №32</v>
      </c>
      <c r="H68" s="2" t="str">
        <f>LEFT(Дума_одномандатный[[#This Row],[tik]],4)&amp;"."&amp;IF(ISNUMBER(VALUE(RIGHT(Дума_одномандатный[[#This Row],[tik]]))),RIGHT(Дума_одномандатный[[#This Row],[tik]]),"")</f>
        <v>Один.</v>
      </c>
      <c r="I68">
        <v>711</v>
      </c>
      <c r="J68" s="8">
        <f>Дума_одномандатный[[#This Row],[Число избирателей, внесенных в список избирателей на момент окончания голосования]]</f>
        <v>711</v>
      </c>
      <c r="K68">
        <v>700</v>
      </c>
      <c r="L68">
        <v>0</v>
      </c>
      <c r="M68">
        <v>393</v>
      </c>
      <c r="N68">
        <v>69</v>
      </c>
      <c r="O68" s="3">
        <f t="shared" si="35"/>
        <v>64.978902953586498</v>
      </c>
      <c r="P68" s="3">
        <f t="shared" si="36"/>
        <v>9.7046413502109701</v>
      </c>
      <c r="Q68">
        <v>238</v>
      </c>
      <c r="R68">
        <v>69</v>
      </c>
      <c r="S68">
        <v>393</v>
      </c>
      <c r="T68" s="1">
        <f t="shared" si="37"/>
        <v>462</v>
      </c>
      <c r="U68" s="3">
        <f t="shared" si="38"/>
        <v>14.935064935064934</v>
      </c>
      <c r="V68">
        <v>24</v>
      </c>
      <c r="W68" s="3">
        <f t="shared" si="39"/>
        <v>5.1948051948051948</v>
      </c>
      <c r="X68">
        <v>438</v>
      </c>
      <c r="Y68">
        <v>0</v>
      </c>
      <c r="Z68">
        <v>0</v>
      </c>
      <c r="AA68">
        <v>17</v>
      </c>
      <c r="AB68" s="3">
        <f t="shared" si="40"/>
        <v>3.6796536796536796</v>
      </c>
      <c r="AC68">
        <v>23</v>
      </c>
      <c r="AD68" s="3">
        <f t="shared" si="41"/>
        <v>4.9783549783549788</v>
      </c>
      <c r="AE68">
        <v>29</v>
      </c>
      <c r="AF68" s="3">
        <f t="shared" si="42"/>
        <v>6.2770562770562774</v>
      </c>
      <c r="AG68">
        <v>199</v>
      </c>
      <c r="AH68" s="3">
        <f t="shared" si="43"/>
        <v>43.073593073593074</v>
      </c>
      <c r="AI68">
        <v>25</v>
      </c>
      <c r="AJ68" s="3">
        <f t="shared" si="44"/>
        <v>5.4112554112554117</v>
      </c>
      <c r="AK68">
        <v>28</v>
      </c>
      <c r="AL68" s="3">
        <f t="shared" si="45"/>
        <v>6.0606060606060606</v>
      </c>
      <c r="AM68">
        <v>10</v>
      </c>
      <c r="AN68" s="3">
        <f t="shared" si="46"/>
        <v>2.1645021645021645</v>
      </c>
      <c r="AO68">
        <v>78</v>
      </c>
      <c r="AP68" s="3">
        <f t="shared" si="47"/>
        <v>16.883116883116884</v>
      </c>
      <c r="AQ68">
        <v>19</v>
      </c>
      <c r="AR68" s="3">
        <f t="shared" si="48"/>
        <v>4.112554112554113</v>
      </c>
      <c r="AS68">
        <v>10</v>
      </c>
      <c r="AT68" s="3">
        <f t="shared" si="49"/>
        <v>2.1645021645021645</v>
      </c>
      <c r="AU68" t="s">
        <v>314</v>
      </c>
      <c r="AV68" s="72">
        <f>Дума_партии[[#This Row],[КОИБ]]</f>
        <v>2017</v>
      </c>
      <c r="AW68" s="1" t="str">
        <f>IF(Дума_партии[[#This Row],[Наблюдателей]]=0,"",Дума_партии[[#This Row],[Наблюдателей]])</f>
        <v/>
      </c>
      <c r="AX68"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106.97506925207755</v>
      </c>
      <c r="AY68" s="10">
        <f>2*(Дума_одномандатный[[#This Row],[Майданов Денис Васильевич]]-(AC$203/100)*Дума_одномандатный[[#This Row],[Число действительных избирательных бюллетеней]])</f>
        <v>154.47199999999998</v>
      </c>
      <c r="AZ68" s="10">
        <f>(Дума_одномандатный[[#This Row],[Вброс]]+Дума_одномандатный[[#This Row],[Перекладывание]])/2</f>
        <v>130.72353462603877</v>
      </c>
    </row>
    <row r="69" spans="1:52" x14ac:dyDescent="0.4">
      <c r="A69" t="s">
        <v>49</v>
      </c>
      <c r="B69" t="s">
        <v>50</v>
      </c>
      <c r="C69" t="s">
        <v>51</v>
      </c>
      <c r="D69" t="s">
        <v>138</v>
      </c>
      <c r="E69" t="s">
        <v>197</v>
      </c>
      <c r="F69" s="1">
        <f t="shared" ca="1" si="34"/>
        <v>3953</v>
      </c>
      <c r="G69" s="8" t="str">
        <f>Дума_партии[[#This Row],[Местоположение]]</f>
        <v>Ивановка</v>
      </c>
      <c r="H69" s="2" t="str">
        <f>LEFT(Дума_одномандатный[[#This Row],[tik]],4)&amp;"."&amp;IF(ISNUMBER(VALUE(RIGHT(Дума_одномандатный[[#This Row],[tik]]))),RIGHT(Дума_одномандатный[[#This Row],[tik]]),"")</f>
        <v>Один.</v>
      </c>
      <c r="I69">
        <v>676</v>
      </c>
      <c r="J69" s="8">
        <f>Дума_одномандатный[[#This Row],[Число избирателей, внесенных в список избирателей на момент окончания голосования]]</f>
        <v>676</v>
      </c>
      <c r="K69">
        <v>600</v>
      </c>
      <c r="L69">
        <v>0</v>
      </c>
      <c r="M69">
        <v>204</v>
      </c>
      <c r="N69">
        <v>141</v>
      </c>
      <c r="O69" s="3">
        <f t="shared" si="35"/>
        <v>51.035502958579883</v>
      </c>
      <c r="P69" s="3">
        <f t="shared" si="36"/>
        <v>20.857988165680474</v>
      </c>
      <c r="Q69">
        <v>255</v>
      </c>
      <c r="R69">
        <v>141</v>
      </c>
      <c r="S69">
        <v>204</v>
      </c>
      <c r="T69" s="1">
        <f t="shared" si="37"/>
        <v>345</v>
      </c>
      <c r="U69" s="3">
        <f t="shared" si="38"/>
        <v>40.869565217391305</v>
      </c>
      <c r="V69">
        <v>15</v>
      </c>
      <c r="W69" s="3">
        <f t="shared" si="39"/>
        <v>4.3478260869565215</v>
      </c>
      <c r="X69">
        <v>330</v>
      </c>
      <c r="Y69">
        <v>0</v>
      </c>
      <c r="Z69">
        <v>0</v>
      </c>
      <c r="AA69">
        <v>5</v>
      </c>
      <c r="AB69" s="3">
        <f t="shared" si="40"/>
        <v>1.4492753623188406</v>
      </c>
      <c r="AC69">
        <v>16</v>
      </c>
      <c r="AD69" s="3">
        <f t="shared" si="41"/>
        <v>4.63768115942029</v>
      </c>
      <c r="AE69">
        <v>17</v>
      </c>
      <c r="AF69" s="3">
        <f t="shared" si="42"/>
        <v>4.9275362318840576</v>
      </c>
      <c r="AG69">
        <v>153</v>
      </c>
      <c r="AH69" s="3">
        <f t="shared" si="43"/>
        <v>44.347826086956523</v>
      </c>
      <c r="AI69">
        <v>16</v>
      </c>
      <c r="AJ69" s="3">
        <f t="shared" si="44"/>
        <v>4.63768115942029</v>
      </c>
      <c r="AK69">
        <v>20</v>
      </c>
      <c r="AL69" s="3">
        <f t="shared" si="45"/>
        <v>5.7971014492753623</v>
      </c>
      <c r="AM69">
        <v>11</v>
      </c>
      <c r="AN69" s="3">
        <f t="shared" si="46"/>
        <v>3.1884057971014492</v>
      </c>
      <c r="AO69">
        <v>80</v>
      </c>
      <c r="AP69" s="3">
        <f t="shared" si="47"/>
        <v>23.188405797101449</v>
      </c>
      <c r="AQ69">
        <v>7</v>
      </c>
      <c r="AR69" s="3">
        <f t="shared" si="48"/>
        <v>2.0289855072463769</v>
      </c>
      <c r="AS69">
        <v>5</v>
      </c>
      <c r="AT69" s="3">
        <f t="shared" si="49"/>
        <v>1.4492753623188406</v>
      </c>
      <c r="AU69" t="s">
        <v>314</v>
      </c>
      <c r="AV69" s="72">
        <f>Дума_партии[[#This Row],[КОИБ]]</f>
        <v>2017</v>
      </c>
      <c r="AW69" s="1" t="str">
        <f>IF(Дума_партии[[#This Row],[Наблюдателей]]=0,"",Дума_партии[[#This Row],[Наблюдателей]])</f>
        <v/>
      </c>
      <c r="AX69"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84.847645429362871</v>
      </c>
      <c r="AY69" s="10">
        <f>2*(Дума_одномандатный[[#This Row],[Майданов Денис Васильевич]]-(AC$203/100)*Дума_одномандатный[[#This Row],[Число действительных избирательных бюллетеней]])</f>
        <v>122.51999999999998</v>
      </c>
      <c r="AZ69" s="10">
        <f>(Дума_одномандатный[[#This Row],[Вброс]]+Дума_одномандатный[[#This Row],[Перекладывание]])/2</f>
        <v>103.68382271468143</v>
      </c>
    </row>
    <row r="70" spans="1:52" x14ac:dyDescent="0.4">
      <c r="A70" t="s">
        <v>49</v>
      </c>
      <c r="B70" t="s">
        <v>50</v>
      </c>
      <c r="C70" t="s">
        <v>51</v>
      </c>
      <c r="D70" t="s">
        <v>138</v>
      </c>
      <c r="E70" t="s">
        <v>198</v>
      </c>
      <c r="F70" s="1">
        <f t="shared" ca="1" si="34"/>
        <v>3954</v>
      </c>
      <c r="G70" s="8" t="str">
        <f>Дума_партии[[#This Row],[Местоположение]]</f>
        <v>Каринское</v>
      </c>
      <c r="H70" s="2" t="str">
        <f>LEFT(Дума_одномандатный[[#This Row],[tik]],4)&amp;"."&amp;IF(ISNUMBER(VALUE(RIGHT(Дума_одномандатный[[#This Row],[tik]]))),RIGHT(Дума_одномандатный[[#This Row],[tik]]),"")</f>
        <v>Один.</v>
      </c>
      <c r="I70">
        <v>1850</v>
      </c>
      <c r="J70" s="8">
        <f>Дума_одномандатный[[#This Row],[Число избирателей, внесенных в список избирателей на момент окончания голосования]]</f>
        <v>1850</v>
      </c>
      <c r="K70">
        <v>1500</v>
      </c>
      <c r="L70">
        <v>0</v>
      </c>
      <c r="M70">
        <v>719</v>
      </c>
      <c r="N70">
        <v>150</v>
      </c>
      <c r="O70" s="3">
        <f t="shared" si="35"/>
        <v>46.972972972972975</v>
      </c>
      <c r="P70" s="3">
        <f t="shared" si="36"/>
        <v>8.1081081081081088</v>
      </c>
      <c r="Q70">
        <v>631</v>
      </c>
      <c r="R70">
        <v>150</v>
      </c>
      <c r="S70">
        <v>719</v>
      </c>
      <c r="T70" s="1">
        <f t="shared" si="37"/>
        <v>869</v>
      </c>
      <c r="U70" s="3">
        <f t="shared" si="38"/>
        <v>17.261219792865361</v>
      </c>
      <c r="V70">
        <v>71</v>
      </c>
      <c r="W70" s="3">
        <f t="shared" si="39"/>
        <v>8.1703107019562715</v>
      </c>
      <c r="X70">
        <v>798</v>
      </c>
      <c r="Y70">
        <v>0</v>
      </c>
      <c r="Z70">
        <v>0</v>
      </c>
      <c r="AA70">
        <v>27</v>
      </c>
      <c r="AB70" s="3">
        <f t="shared" si="40"/>
        <v>3.1070195627157653</v>
      </c>
      <c r="AC70">
        <v>38</v>
      </c>
      <c r="AD70" s="3">
        <f t="shared" si="41"/>
        <v>4.372842347525892</v>
      </c>
      <c r="AE70">
        <v>79</v>
      </c>
      <c r="AF70" s="3">
        <f t="shared" si="42"/>
        <v>9.0909090909090917</v>
      </c>
      <c r="AG70">
        <v>262</v>
      </c>
      <c r="AH70" s="3">
        <f t="shared" si="43"/>
        <v>30.149597238204834</v>
      </c>
      <c r="AI70">
        <v>56</v>
      </c>
      <c r="AJ70" s="3">
        <f t="shared" si="44"/>
        <v>6.4441887226697352</v>
      </c>
      <c r="AK70">
        <v>92</v>
      </c>
      <c r="AL70" s="3">
        <f t="shared" si="45"/>
        <v>10.586881472957423</v>
      </c>
      <c r="AM70">
        <v>13</v>
      </c>
      <c r="AN70" s="3">
        <f t="shared" si="46"/>
        <v>1.4959723820483315</v>
      </c>
      <c r="AO70">
        <v>188</v>
      </c>
      <c r="AP70" s="3">
        <f t="shared" si="47"/>
        <v>21.634062140391254</v>
      </c>
      <c r="AQ70">
        <v>33</v>
      </c>
      <c r="AR70" s="3">
        <f t="shared" si="48"/>
        <v>3.7974683544303796</v>
      </c>
      <c r="AS70">
        <v>10</v>
      </c>
      <c r="AT70" s="3">
        <f t="shared" si="49"/>
        <v>1.1507479861910241</v>
      </c>
      <c r="AU70" t="s">
        <v>314</v>
      </c>
      <c r="AV70" s="72">
        <f>Дума_партии[[#This Row],[КОИБ]]</f>
        <v>2017</v>
      </c>
      <c r="AW70" s="1" t="str">
        <f>IF(Дума_партии[[#This Row],[Наблюдателей]]=0,"",Дума_партии[[#This Row],[Наблюдателей]])</f>
        <v/>
      </c>
      <c r="AX70"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55.617728531855931</v>
      </c>
      <c r="AY70" s="10">
        <f>2*(Дума_одномандатный[[#This Row],[Майданов Денис Васильевич]]-(AC$203/100)*Дума_одномандатный[[#This Row],[Число действительных избирательных бюллетеней]])</f>
        <v>80.311999999999955</v>
      </c>
      <c r="AZ70" s="10">
        <f>(Дума_одномандатный[[#This Row],[Вброс]]+Дума_одномандатный[[#This Row],[Перекладывание]])/2</f>
        <v>67.964864265927943</v>
      </c>
    </row>
    <row r="71" spans="1:52" x14ac:dyDescent="0.4">
      <c r="A71" t="s">
        <v>49</v>
      </c>
      <c r="B71" t="s">
        <v>50</v>
      </c>
      <c r="C71" t="s">
        <v>51</v>
      </c>
      <c r="D71" t="s">
        <v>138</v>
      </c>
      <c r="E71" t="s">
        <v>199</v>
      </c>
      <c r="F71" s="1">
        <f t="shared" ca="1" si="34"/>
        <v>3955</v>
      </c>
      <c r="G71" s="8" t="str">
        <f>Дума_партии[[#This Row],[Местоположение]]</f>
        <v>Саввинская Слобода</v>
      </c>
      <c r="H71" s="2" t="str">
        <f>LEFT(Дума_одномандатный[[#This Row],[tik]],4)&amp;"."&amp;IF(ISNUMBER(VALUE(RIGHT(Дума_одномандатный[[#This Row],[tik]]))),RIGHT(Дума_одномандатный[[#This Row],[tik]]),"")</f>
        <v>Один.</v>
      </c>
      <c r="I71">
        <v>1907</v>
      </c>
      <c r="J71" s="8">
        <f>Дума_одномандатный[[#This Row],[Число избирателей, внесенных в список избирателей на момент окончания голосования]]</f>
        <v>1907</v>
      </c>
      <c r="K71">
        <v>1500</v>
      </c>
      <c r="L71">
        <v>0</v>
      </c>
      <c r="M71">
        <v>886</v>
      </c>
      <c r="N71">
        <v>118</v>
      </c>
      <c r="O71" s="3">
        <f t="shared" si="35"/>
        <v>52.648138437336129</v>
      </c>
      <c r="P71" s="3">
        <f t="shared" si="36"/>
        <v>6.1877294179339275</v>
      </c>
      <c r="Q71">
        <v>496</v>
      </c>
      <c r="R71">
        <v>118</v>
      </c>
      <c r="S71">
        <v>886</v>
      </c>
      <c r="T71" s="1">
        <f t="shared" si="37"/>
        <v>1004</v>
      </c>
      <c r="U71" s="3">
        <f t="shared" si="38"/>
        <v>11.752988047808765</v>
      </c>
      <c r="V71">
        <v>42</v>
      </c>
      <c r="W71" s="3">
        <f t="shared" si="39"/>
        <v>4.1832669322709162</v>
      </c>
      <c r="X71">
        <v>962</v>
      </c>
      <c r="Y71">
        <v>0</v>
      </c>
      <c r="Z71">
        <v>0</v>
      </c>
      <c r="AA71">
        <v>29</v>
      </c>
      <c r="AB71" s="3">
        <f t="shared" si="40"/>
        <v>2.8884462151394423</v>
      </c>
      <c r="AC71">
        <v>63</v>
      </c>
      <c r="AD71" s="3">
        <f t="shared" si="41"/>
        <v>6.2749003984063743</v>
      </c>
      <c r="AE71">
        <v>89</v>
      </c>
      <c r="AF71" s="3">
        <f t="shared" si="42"/>
        <v>8.8645418326693228</v>
      </c>
      <c r="AG71">
        <v>329</v>
      </c>
      <c r="AH71" s="3">
        <f t="shared" si="43"/>
        <v>32.768924302788847</v>
      </c>
      <c r="AI71">
        <v>72</v>
      </c>
      <c r="AJ71" s="3">
        <f t="shared" si="44"/>
        <v>7.1713147410358564</v>
      </c>
      <c r="AK71">
        <v>66</v>
      </c>
      <c r="AL71" s="3">
        <f t="shared" si="45"/>
        <v>6.5737051792828689</v>
      </c>
      <c r="AM71">
        <v>24</v>
      </c>
      <c r="AN71" s="3">
        <f t="shared" si="46"/>
        <v>2.3904382470119523</v>
      </c>
      <c r="AO71">
        <v>256</v>
      </c>
      <c r="AP71" s="3">
        <f t="shared" si="47"/>
        <v>25.498007968127489</v>
      </c>
      <c r="AQ71">
        <v>24</v>
      </c>
      <c r="AR71" s="3">
        <f t="shared" si="48"/>
        <v>2.3904382470119523</v>
      </c>
      <c r="AS71">
        <v>10</v>
      </c>
      <c r="AT71" s="3">
        <f t="shared" si="49"/>
        <v>0.99601593625498008</v>
      </c>
      <c r="AU71" t="s">
        <v>314</v>
      </c>
      <c r="AV71" s="72">
        <f>Дума_партии[[#This Row],[КОИБ]]</f>
        <v>2017</v>
      </c>
      <c r="AW71" s="1" t="str">
        <f>IF(Дума_партии[[#This Row],[Наблюдателей]]=0,"",Дума_партии[[#This Row],[Наблюдателей]])</f>
        <v/>
      </c>
      <c r="AX71"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85.268698060941801</v>
      </c>
      <c r="AY71" s="10">
        <f>2*(Дума_одномандатный[[#This Row],[Майданов Денис Васильевич]]-(AC$203/100)*Дума_одномандатный[[#This Row],[Число действительных избирательных бюллетеней]])</f>
        <v>123.12799999999993</v>
      </c>
      <c r="AZ71" s="10">
        <f>(Дума_одномандатный[[#This Row],[Вброс]]+Дума_одномандатный[[#This Row],[Перекладывание]])/2</f>
        <v>104.19834903047087</v>
      </c>
    </row>
    <row r="72" spans="1:52" x14ac:dyDescent="0.4">
      <c r="A72" t="s">
        <v>49</v>
      </c>
      <c r="B72" t="s">
        <v>50</v>
      </c>
      <c r="C72" t="s">
        <v>51</v>
      </c>
      <c r="D72" t="s">
        <v>138</v>
      </c>
      <c r="E72" t="s">
        <v>200</v>
      </c>
      <c r="F72" s="1">
        <f t="shared" ca="1" si="34"/>
        <v>3957</v>
      </c>
      <c r="G72" s="8" t="str">
        <f>Дума_партии[[#This Row],[Местоположение]]</f>
        <v>Жаворонки</v>
      </c>
      <c r="H72" s="2" t="str">
        <f>LEFT(Дума_одномандатный[[#This Row],[tik]],4)&amp;"."&amp;IF(ISNUMBER(VALUE(RIGHT(Дума_одномандатный[[#This Row],[tik]]))),RIGHT(Дума_одномандатный[[#This Row],[tik]]),"")</f>
        <v>Один.</v>
      </c>
      <c r="I72">
        <v>1238</v>
      </c>
      <c r="J72" s="8">
        <f>Дума_одномандатный[[#This Row],[Число избирателей, внесенных в список избирателей на момент окончания голосования]]</f>
        <v>1238</v>
      </c>
      <c r="K72">
        <v>1000</v>
      </c>
      <c r="L72">
        <v>0</v>
      </c>
      <c r="M72">
        <v>428</v>
      </c>
      <c r="N72">
        <v>27</v>
      </c>
      <c r="O72" s="3">
        <f t="shared" si="35"/>
        <v>36.752827140549272</v>
      </c>
      <c r="P72" s="3">
        <f t="shared" si="36"/>
        <v>2.1809369951534734</v>
      </c>
      <c r="Q72">
        <v>545</v>
      </c>
      <c r="R72">
        <v>27</v>
      </c>
      <c r="S72">
        <v>428</v>
      </c>
      <c r="T72" s="1">
        <f t="shared" si="37"/>
        <v>455</v>
      </c>
      <c r="U72" s="3">
        <f t="shared" si="38"/>
        <v>5.9340659340659343</v>
      </c>
      <c r="V72">
        <v>25</v>
      </c>
      <c r="W72" s="3">
        <f t="shared" si="39"/>
        <v>5.4945054945054945</v>
      </c>
      <c r="X72">
        <v>430</v>
      </c>
      <c r="Y72">
        <v>0</v>
      </c>
      <c r="Z72">
        <v>0</v>
      </c>
      <c r="AA72">
        <v>16</v>
      </c>
      <c r="AB72" s="3">
        <f t="shared" si="40"/>
        <v>3.5164835164835164</v>
      </c>
      <c r="AC72">
        <v>21</v>
      </c>
      <c r="AD72" s="3">
        <f t="shared" si="41"/>
        <v>4.615384615384615</v>
      </c>
      <c r="AE72">
        <v>36</v>
      </c>
      <c r="AF72" s="3">
        <f t="shared" si="42"/>
        <v>7.9120879120879124</v>
      </c>
      <c r="AG72">
        <v>159</v>
      </c>
      <c r="AH72" s="3">
        <f t="shared" si="43"/>
        <v>34.945054945054942</v>
      </c>
      <c r="AI72">
        <v>22</v>
      </c>
      <c r="AJ72" s="3">
        <f t="shared" si="44"/>
        <v>4.8351648351648349</v>
      </c>
      <c r="AK72">
        <v>33</v>
      </c>
      <c r="AL72" s="3">
        <f t="shared" si="45"/>
        <v>7.2527472527472527</v>
      </c>
      <c r="AM72">
        <v>11</v>
      </c>
      <c r="AN72" s="3">
        <f t="shared" si="46"/>
        <v>2.4175824175824174</v>
      </c>
      <c r="AO72">
        <v>104</v>
      </c>
      <c r="AP72" s="3">
        <f t="shared" si="47"/>
        <v>22.857142857142858</v>
      </c>
      <c r="AQ72">
        <v>12</v>
      </c>
      <c r="AR72" s="3">
        <f t="shared" si="48"/>
        <v>2.6373626373626373</v>
      </c>
      <c r="AS72">
        <v>16</v>
      </c>
      <c r="AT72" s="3">
        <f t="shared" si="49"/>
        <v>3.5164835164835164</v>
      </c>
      <c r="AU72" t="s">
        <v>314</v>
      </c>
      <c r="AV72" s="72">
        <f>Дума_партии[[#This Row],[КОИБ]]</f>
        <v>2017</v>
      </c>
      <c r="AW72" s="1" t="str">
        <f>IF(Дума_партии[[#This Row],[Наблюдателей]]=0,"",Дума_партии[[#This Row],[Наблюдателей]])</f>
        <v/>
      </c>
      <c r="AX72"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54.65373961218836</v>
      </c>
      <c r="AY72" s="10">
        <f>2*(Дума_одномандатный[[#This Row],[Майданов Денис Васильевич]]-(AC$203/100)*Дума_одномандатный[[#This Row],[Число действительных избирательных бюллетеней]])</f>
        <v>78.919999999999987</v>
      </c>
      <c r="AZ72" s="10">
        <f>(Дума_одномандатный[[#This Row],[Вброс]]+Дума_одномандатный[[#This Row],[Перекладывание]])/2</f>
        <v>66.786869806094174</v>
      </c>
    </row>
    <row r="73" spans="1:52" x14ac:dyDescent="0.4">
      <c r="A73" t="s">
        <v>49</v>
      </c>
      <c r="B73" t="s">
        <v>50</v>
      </c>
      <c r="C73" t="s">
        <v>51</v>
      </c>
      <c r="D73" t="s">
        <v>138</v>
      </c>
      <c r="E73" t="s">
        <v>201</v>
      </c>
      <c r="F73" s="1">
        <f t="shared" ca="1" si="34"/>
        <v>3958</v>
      </c>
      <c r="G73" s="8" t="str">
        <f>Дума_партии[[#This Row],[Местоположение]]</f>
        <v>Жаворонки</v>
      </c>
      <c r="H73" s="2" t="str">
        <f>LEFT(Дума_одномандатный[[#This Row],[tik]],4)&amp;"."&amp;IF(ISNUMBER(VALUE(RIGHT(Дума_одномандатный[[#This Row],[tik]]))),RIGHT(Дума_одномандатный[[#This Row],[tik]]),"")</f>
        <v>Один.</v>
      </c>
      <c r="I73">
        <v>1122</v>
      </c>
      <c r="J73" s="8">
        <f>Дума_одномандатный[[#This Row],[Число избирателей, внесенных в список избирателей на момент окончания голосования]]</f>
        <v>1122</v>
      </c>
      <c r="K73">
        <v>1000</v>
      </c>
      <c r="L73">
        <v>0</v>
      </c>
      <c r="M73">
        <v>438</v>
      </c>
      <c r="N73">
        <v>33</v>
      </c>
      <c r="O73" s="3">
        <f t="shared" si="35"/>
        <v>41.978609625668447</v>
      </c>
      <c r="P73" s="3">
        <f t="shared" si="36"/>
        <v>2.9411764705882355</v>
      </c>
      <c r="Q73">
        <v>529</v>
      </c>
      <c r="R73">
        <v>33</v>
      </c>
      <c r="S73">
        <v>437</v>
      </c>
      <c r="T73" s="1">
        <f t="shared" si="37"/>
        <v>470</v>
      </c>
      <c r="U73" s="3">
        <f t="shared" si="38"/>
        <v>7.0212765957446805</v>
      </c>
      <c r="V73">
        <v>38</v>
      </c>
      <c r="W73" s="3">
        <f t="shared" si="39"/>
        <v>8.085106382978724</v>
      </c>
      <c r="X73">
        <v>432</v>
      </c>
      <c r="Y73">
        <v>0</v>
      </c>
      <c r="Z73">
        <v>0</v>
      </c>
      <c r="AA73">
        <v>17</v>
      </c>
      <c r="AB73" s="3">
        <f t="shared" si="40"/>
        <v>3.6170212765957448</v>
      </c>
      <c r="AC73">
        <v>17</v>
      </c>
      <c r="AD73" s="3">
        <f t="shared" si="41"/>
        <v>3.6170212765957448</v>
      </c>
      <c r="AE73">
        <v>45</v>
      </c>
      <c r="AF73" s="3">
        <f t="shared" si="42"/>
        <v>9.5744680851063837</v>
      </c>
      <c r="AG73">
        <v>136</v>
      </c>
      <c r="AH73" s="3">
        <f t="shared" si="43"/>
        <v>28.936170212765958</v>
      </c>
      <c r="AI73">
        <v>49</v>
      </c>
      <c r="AJ73" s="3">
        <f t="shared" si="44"/>
        <v>10.425531914893616</v>
      </c>
      <c r="AK73">
        <v>32</v>
      </c>
      <c r="AL73" s="3">
        <f t="shared" si="45"/>
        <v>6.8085106382978724</v>
      </c>
      <c r="AM73">
        <v>8</v>
      </c>
      <c r="AN73" s="3">
        <f t="shared" si="46"/>
        <v>1.7021276595744681</v>
      </c>
      <c r="AO73">
        <v>102</v>
      </c>
      <c r="AP73" s="3">
        <f t="shared" si="47"/>
        <v>21.702127659574469</v>
      </c>
      <c r="AQ73">
        <v>19</v>
      </c>
      <c r="AR73" s="3">
        <f t="shared" si="48"/>
        <v>4.042553191489362</v>
      </c>
      <c r="AS73">
        <v>7</v>
      </c>
      <c r="AT73" s="3">
        <f t="shared" si="49"/>
        <v>1.4893617021276595</v>
      </c>
      <c r="AU73" t="s">
        <v>314</v>
      </c>
      <c r="AV73" s="72">
        <f>Дума_партии[[#This Row],[КОИБ]]</f>
        <v>2017</v>
      </c>
      <c r="AW73" s="1" t="str">
        <f>IF(Дума_партии[[#This Row],[Наблюдателей]]=0,"",Дума_партии[[#This Row],[Наблюдателей]])</f>
        <v/>
      </c>
      <c r="AX73"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22.027700831024916</v>
      </c>
      <c r="AY73" s="10">
        <f>2*(Дума_одномандатный[[#This Row],[Майданов Денис Васильевич]]-(AC$203/100)*Дума_одномандатный[[#This Row],[Число действительных избирательных бюллетеней]])</f>
        <v>31.807999999999993</v>
      </c>
      <c r="AZ73" s="10">
        <f>(Дума_одномандатный[[#This Row],[Вброс]]+Дума_одномандатный[[#This Row],[Перекладывание]])/2</f>
        <v>26.917850415512454</v>
      </c>
    </row>
    <row r="74" spans="1:52" x14ac:dyDescent="0.4">
      <c r="A74" t="s">
        <v>49</v>
      </c>
      <c r="B74" t="s">
        <v>50</v>
      </c>
      <c r="C74" t="s">
        <v>51</v>
      </c>
      <c r="D74" t="s">
        <v>138</v>
      </c>
      <c r="E74" t="s">
        <v>202</v>
      </c>
      <c r="F74" s="1">
        <f t="shared" ca="1" si="34"/>
        <v>3959</v>
      </c>
      <c r="G74" s="8" t="str">
        <f>Дума_партии[[#This Row],[Местоположение]]</f>
        <v>Ликино</v>
      </c>
      <c r="H74" s="2" t="str">
        <f>LEFT(Дума_одномандатный[[#This Row],[tik]],4)&amp;"."&amp;IF(ISNUMBER(VALUE(RIGHT(Дума_одномандатный[[#This Row],[tik]]))),RIGHT(Дума_одномандатный[[#This Row],[tik]]),"")</f>
        <v>Один.</v>
      </c>
      <c r="I74">
        <v>1510</v>
      </c>
      <c r="J74" s="8">
        <f>Дума_одномандатный[[#This Row],[Число избирателей, внесенных в список избирателей на момент окончания голосования]]</f>
        <v>1510</v>
      </c>
      <c r="K74">
        <v>1200</v>
      </c>
      <c r="L74">
        <v>0</v>
      </c>
      <c r="M74">
        <v>559</v>
      </c>
      <c r="N74">
        <v>51</v>
      </c>
      <c r="O74" s="3">
        <f t="shared" si="35"/>
        <v>40.397350993377486</v>
      </c>
      <c r="P74" s="3">
        <f t="shared" si="36"/>
        <v>3.3774834437086092</v>
      </c>
      <c r="Q74">
        <v>590</v>
      </c>
      <c r="R74">
        <v>50</v>
      </c>
      <c r="S74">
        <v>550</v>
      </c>
      <c r="T74" s="1">
        <f t="shared" si="37"/>
        <v>600</v>
      </c>
      <c r="U74" s="3">
        <f t="shared" si="38"/>
        <v>8.3333333333333339</v>
      </c>
      <c r="V74">
        <v>61</v>
      </c>
      <c r="W74" s="3">
        <f t="shared" si="39"/>
        <v>10.166666666666666</v>
      </c>
      <c r="X74">
        <v>539</v>
      </c>
      <c r="Y74">
        <v>0</v>
      </c>
      <c r="Z74">
        <v>0</v>
      </c>
      <c r="AA74">
        <v>25</v>
      </c>
      <c r="AB74" s="3">
        <f t="shared" si="40"/>
        <v>4.166666666666667</v>
      </c>
      <c r="AC74">
        <v>24</v>
      </c>
      <c r="AD74" s="3">
        <f t="shared" si="41"/>
        <v>4</v>
      </c>
      <c r="AE74">
        <v>50</v>
      </c>
      <c r="AF74" s="3">
        <f t="shared" si="42"/>
        <v>8.3333333333333339</v>
      </c>
      <c r="AG74">
        <v>187</v>
      </c>
      <c r="AH74" s="3">
        <f t="shared" si="43"/>
        <v>31.166666666666668</v>
      </c>
      <c r="AI74">
        <v>37</v>
      </c>
      <c r="AJ74" s="3">
        <f t="shared" si="44"/>
        <v>6.166666666666667</v>
      </c>
      <c r="AK74">
        <v>30</v>
      </c>
      <c r="AL74" s="3">
        <f t="shared" si="45"/>
        <v>5</v>
      </c>
      <c r="AM74">
        <v>16</v>
      </c>
      <c r="AN74" s="3">
        <f t="shared" si="46"/>
        <v>2.6666666666666665</v>
      </c>
      <c r="AO74">
        <v>131</v>
      </c>
      <c r="AP74" s="3">
        <f t="shared" si="47"/>
        <v>21.833333333333332</v>
      </c>
      <c r="AQ74">
        <v>29</v>
      </c>
      <c r="AR74" s="3">
        <f t="shared" si="48"/>
        <v>4.833333333333333</v>
      </c>
      <c r="AS74">
        <v>10</v>
      </c>
      <c r="AT74" s="3">
        <f t="shared" si="49"/>
        <v>1.6666666666666667</v>
      </c>
      <c r="AU74" t="s">
        <v>314</v>
      </c>
      <c r="AV74" s="72">
        <f>Дума_партии[[#This Row],[КОИБ]]</f>
        <v>2017</v>
      </c>
      <c r="AW74" s="1">
        <f>IF(Дума_партии[[#This Row],[Наблюдателей]]=0,"",Дума_партии[[#This Row],[Наблюдателей]])</f>
        <v>1</v>
      </c>
      <c r="AX74"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51.46537396121883</v>
      </c>
      <c r="AY74" s="10">
        <f>2*(Дума_одномандатный[[#This Row],[Майданов Денис Васильевич]]-(AC$203/100)*Дума_одномандатный[[#This Row],[Число действительных избирательных бюллетеней]])</f>
        <v>74.315999999999974</v>
      </c>
      <c r="AZ74" s="10">
        <f>(Дума_одномандатный[[#This Row],[Вброс]]+Дума_одномандатный[[#This Row],[Перекладывание]])/2</f>
        <v>62.890686980609402</v>
      </c>
    </row>
    <row r="75" spans="1:52" x14ac:dyDescent="0.4">
      <c r="A75" t="s">
        <v>49</v>
      </c>
      <c r="B75" t="s">
        <v>50</v>
      </c>
      <c r="C75" t="s">
        <v>51</v>
      </c>
      <c r="D75" t="s">
        <v>138</v>
      </c>
      <c r="E75" t="s">
        <v>203</v>
      </c>
      <c r="F75" s="1">
        <f t="shared" ca="1" si="34"/>
        <v>3960</v>
      </c>
      <c r="G75" s="8" t="str">
        <f>Дума_партии[[#This Row],[Местоположение]]</f>
        <v>Осоргино</v>
      </c>
      <c r="H75" s="2" t="str">
        <f>LEFT(Дума_одномандатный[[#This Row],[tik]],4)&amp;"."&amp;IF(ISNUMBER(VALUE(RIGHT(Дума_одномандатный[[#This Row],[tik]]))),RIGHT(Дума_одномандатный[[#This Row],[tik]]),"")</f>
        <v>Один.</v>
      </c>
      <c r="I75">
        <v>1776</v>
      </c>
      <c r="J75" s="8">
        <f>Дума_одномандатный[[#This Row],[Число избирателей, внесенных в список избирателей на момент окончания голосования]]</f>
        <v>1776</v>
      </c>
      <c r="K75">
        <v>1500</v>
      </c>
      <c r="L75">
        <v>0</v>
      </c>
      <c r="M75">
        <v>366</v>
      </c>
      <c r="N75">
        <v>32</v>
      </c>
      <c r="O75" s="3">
        <f t="shared" si="35"/>
        <v>22.40990990990991</v>
      </c>
      <c r="P75" s="3">
        <f t="shared" si="36"/>
        <v>1.8018018018018018</v>
      </c>
      <c r="Q75">
        <v>1102</v>
      </c>
      <c r="R75">
        <v>32</v>
      </c>
      <c r="S75">
        <v>366</v>
      </c>
      <c r="T75" s="1">
        <f t="shared" si="37"/>
        <v>398</v>
      </c>
      <c r="U75" s="3">
        <f t="shared" si="38"/>
        <v>8.0402010050251249</v>
      </c>
      <c r="V75">
        <v>20</v>
      </c>
      <c r="W75" s="3">
        <f t="shared" si="39"/>
        <v>5.025125628140704</v>
      </c>
      <c r="X75">
        <v>378</v>
      </c>
      <c r="Y75">
        <v>0</v>
      </c>
      <c r="Z75">
        <v>0</v>
      </c>
      <c r="AA75">
        <v>13</v>
      </c>
      <c r="AB75" s="3">
        <f t="shared" si="40"/>
        <v>3.2663316582914574</v>
      </c>
      <c r="AC75">
        <v>35</v>
      </c>
      <c r="AD75" s="3">
        <f t="shared" si="41"/>
        <v>8.7939698492462313</v>
      </c>
      <c r="AE75">
        <v>28</v>
      </c>
      <c r="AF75" s="3">
        <f t="shared" si="42"/>
        <v>7.0351758793969852</v>
      </c>
      <c r="AG75">
        <v>97</v>
      </c>
      <c r="AH75" s="3">
        <f t="shared" si="43"/>
        <v>24.371859296482413</v>
      </c>
      <c r="AI75">
        <v>24</v>
      </c>
      <c r="AJ75" s="3">
        <f t="shared" si="44"/>
        <v>6.0301507537688446</v>
      </c>
      <c r="AK75">
        <v>18</v>
      </c>
      <c r="AL75" s="3">
        <f t="shared" si="45"/>
        <v>4.5226130653266328</v>
      </c>
      <c r="AM75">
        <v>13</v>
      </c>
      <c r="AN75" s="3">
        <f t="shared" si="46"/>
        <v>3.2663316582914574</v>
      </c>
      <c r="AO75">
        <v>120</v>
      </c>
      <c r="AP75" s="3">
        <f t="shared" si="47"/>
        <v>30.150753768844222</v>
      </c>
      <c r="AQ75">
        <v>14</v>
      </c>
      <c r="AR75" s="3">
        <f t="shared" si="48"/>
        <v>3.5175879396984926</v>
      </c>
      <c r="AS75">
        <v>16</v>
      </c>
      <c r="AT75" s="3">
        <f t="shared" si="49"/>
        <v>4.0201005025125625</v>
      </c>
      <c r="AU75" t="s">
        <v>314</v>
      </c>
      <c r="AV75" s="72">
        <f>Дума_партии[[#This Row],[КОИБ]]</f>
        <v>2017</v>
      </c>
      <c r="AW75" s="1" t="str">
        <f>IF(Дума_партии[[#This Row],[Наблюдателей]]=0,"",Дума_партии[[#This Row],[Наблюдателей]])</f>
        <v/>
      </c>
      <c r="AX75"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-11.196675900277015</v>
      </c>
      <c r="AY75" s="10">
        <f>2*(Дума_одномандатный[[#This Row],[Майданов Денис Васильевич]]-(AC$203/100)*Дума_одномандатный[[#This Row],[Число действительных избирательных бюллетеней]])</f>
        <v>-16.168000000000006</v>
      </c>
      <c r="AZ75" s="10">
        <f>(Дума_одномандатный[[#This Row],[Вброс]]+Дума_одномандатный[[#This Row],[Перекладывание]])/2</f>
        <v>-13.682337950138511</v>
      </c>
    </row>
    <row r="76" spans="1:52" x14ac:dyDescent="0.4">
      <c r="A76" t="s">
        <v>49</v>
      </c>
      <c r="B76" t="s">
        <v>50</v>
      </c>
      <c r="C76" t="s">
        <v>51</v>
      </c>
      <c r="D76" t="s">
        <v>138</v>
      </c>
      <c r="E76" t="s">
        <v>204</v>
      </c>
      <c r="F76" s="1">
        <f t="shared" ca="1" si="34"/>
        <v>3961</v>
      </c>
      <c r="G76" s="8" t="str">
        <f>Дума_партии[[#This Row],[Местоположение]]</f>
        <v>Перхушково</v>
      </c>
      <c r="H76" s="2" t="str">
        <f>LEFT(Дума_одномандатный[[#This Row],[tik]],4)&amp;"."&amp;IF(ISNUMBER(VALUE(RIGHT(Дума_одномандатный[[#This Row],[tik]]))),RIGHT(Дума_одномандатный[[#This Row],[tik]]),"")</f>
        <v>Один.</v>
      </c>
      <c r="I76">
        <v>1310</v>
      </c>
      <c r="J76" s="8">
        <f>Дума_одномандатный[[#This Row],[Число избирателей, внесенных в список избирателей на момент окончания голосования]]</f>
        <v>1310</v>
      </c>
      <c r="K76">
        <v>1000</v>
      </c>
      <c r="L76">
        <v>0</v>
      </c>
      <c r="M76">
        <v>414</v>
      </c>
      <c r="N76">
        <v>42</v>
      </c>
      <c r="O76" s="3">
        <f t="shared" si="35"/>
        <v>34.809160305343511</v>
      </c>
      <c r="P76" s="3">
        <f t="shared" si="36"/>
        <v>3.2061068702290076</v>
      </c>
      <c r="Q76">
        <v>544</v>
      </c>
      <c r="R76">
        <v>42</v>
      </c>
      <c r="S76">
        <v>412</v>
      </c>
      <c r="T76" s="1">
        <f t="shared" si="37"/>
        <v>454</v>
      </c>
      <c r="U76" s="3">
        <f t="shared" si="38"/>
        <v>9.251101321585903</v>
      </c>
      <c r="V76">
        <v>18</v>
      </c>
      <c r="W76" s="3">
        <f t="shared" si="39"/>
        <v>3.9647577092511015</v>
      </c>
      <c r="X76">
        <v>436</v>
      </c>
      <c r="Y76">
        <v>0</v>
      </c>
      <c r="Z76">
        <v>0</v>
      </c>
      <c r="AA76">
        <v>24</v>
      </c>
      <c r="AB76" s="3">
        <f t="shared" si="40"/>
        <v>5.286343612334802</v>
      </c>
      <c r="AC76">
        <v>31</v>
      </c>
      <c r="AD76" s="3">
        <f t="shared" si="41"/>
        <v>6.8281938325991192</v>
      </c>
      <c r="AE76">
        <v>38</v>
      </c>
      <c r="AF76" s="3">
        <f t="shared" si="42"/>
        <v>8.3700440528634363</v>
      </c>
      <c r="AG76">
        <v>97</v>
      </c>
      <c r="AH76" s="3">
        <f t="shared" si="43"/>
        <v>21.365638766519822</v>
      </c>
      <c r="AI76">
        <v>29</v>
      </c>
      <c r="AJ76" s="3">
        <f t="shared" si="44"/>
        <v>6.3876651982378858</v>
      </c>
      <c r="AK76">
        <v>20</v>
      </c>
      <c r="AL76" s="3">
        <f t="shared" si="45"/>
        <v>4.4052863436123344</v>
      </c>
      <c r="AM76">
        <v>10</v>
      </c>
      <c r="AN76" s="3">
        <f t="shared" si="46"/>
        <v>2.2026431718061672</v>
      </c>
      <c r="AO76">
        <v>158</v>
      </c>
      <c r="AP76" s="3">
        <f t="shared" si="47"/>
        <v>34.801762114537446</v>
      </c>
      <c r="AQ76">
        <v>14</v>
      </c>
      <c r="AR76" s="3">
        <f t="shared" si="48"/>
        <v>3.0837004405286343</v>
      </c>
      <c r="AS76">
        <v>15</v>
      </c>
      <c r="AT76" s="3">
        <f t="shared" si="49"/>
        <v>3.303964757709251</v>
      </c>
      <c r="AU76" t="s">
        <v>314</v>
      </c>
      <c r="AV76" s="72">
        <f>Дума_партии[[#This Row],[КОИБ]]</f>
        <v>2017</v>
      </c>
      <c r="AW76" s="1">
        <f>IF(Дума_партии[[#This Row],[Наблюдателей]]=0,"",Дума_партии[[#This Row],[Наблюдателей]])</f>
        <v>2</v>
      </c>
      <c r="AX76"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-33.529085872576189</v>
      </c>
      <c r="AY76" s="10">
        <f>2*(Дума_одномандатный[[#This Row],[Майданов Денис Васильевич]]-(AC$203/100)*Дума_одномандатный[[#This Row],[Число действительных избирательных бюллетеней]])</f>
        <v>-48.416000000000025</v>
      </c>
      <c r="AZ76" s="10">
        <f>(Дума_одномандатный[[#This Row],[Вброс]]+Дума_одномандатный[[#This Row],[Перекладывание]])/2</f>
        <v>-40.972542936288107</v>
      </c>
    </row>
    <row r="77" spans="1:52" x14ac:dyDescent="0.4">
      <c r="A77" t="s">
        <v>49</v>
      </c>
      <c r="B77" t="s">
        <v>50</v>
      </c>
      <c r="C77" t="s">
        <v>51</v>
      </c>
      <c r="D77" t="s">
        <v>138</v>
      </c>
      <c r="E77" t="s">
        <v>205</v>
      </c>
      <c r="F77" s="1">
        <f t="shared" ca="1" si="34"/>
        <v>3962</v>
      </c>
      <c r="G77" s="8" t="str">
        <f>Дума_партии[[#This Row],[Местоположение]]</f>
        <v>Юдино</v>
      </c>
      <c r="H77" s="2" t="str">
        <f>LEFT(Дума_одномандатный[[#This Row],[tik]],4)&amp;"."&amp;IF(ISNUMBER(VALUE(RIGHT(Дума_одномандатный[[#This Row],[tik]]))),RIGHT(Дума_одномандатный[[#This Row],[tik]]),"")</f>
        <v>Один.</v>
      </c>
      <c r="I77">
        <v>1330</v>
      </c>
      <c r="J77" s="8">
        <f>Дума_одномандатный[[#This Row],[Число избирателей, внесенных в список избирателей на момент окончания голосования]]</f>
        <v>1330</v>
      </c>
      <c r="K77">
        <v>1000</v>
      </c>
      <c r="L77">
        <v>0</v>
      </c>
      <c r="M77">
        <v>652</v>
      </c>
      <c r="N77">
        <v>30</v>
      </c>
      <c r="O77" s="3">
        <f t="shared" si="35"/>
        <v>51.278195488721806</v>
      </c>
      <c r="P77" s="3">
        <f t="shared" si="36"/>
        <v>2.255639097744361</v>
      </c>
      <c r="Q77">
        <v>318</v>
      </c>
      <c r="R77">
        <v>30</v>
      </c>
      <c r="S77">
        <v>652</v>
      </c>
      <c r="T77" s="1">
        <f t="shared" si="37"/>
        <v>682</v>
      </c>
      <c r="U77" s="3">
        <f t="shared" si="38"/>
        <v>4.3988269794721404</v>
      </c>
      <c r="V77">
        <v>22</v>
      </c>
      <c r="W77" s="3">
        <f t="shared" si="39"/>
        <v>3.225806451612903</v>
      </c>
      <c r="X77">
        <v>660</v>
      </c>
      <c r="Y77">
        <v>0</v>
      </c>
      <c r="Z77">
        <v>0</v>
      </c>
      <c r="AA77">
        <v>10</v>
      </c>
      <c r="AB77" s="3">
        <f t="shared" si="40"/>
        <v>1.466275659824047</v>
      </c>
      <c r="AC77">
        <v>10</v>
      </c>
      <c r="AD77" s="3">
        <f t="shared" si="41"/>
        <v>1.466275659824047</v>
      </c>
      <c r="AE77">
        <v>30</v>
      </c>
      <c r="AF77" s="3">
        <f t="shared" si="42"/>
        <v>4.3988269794721404</v>
      </c>
      <c r="AG77">
        <v>380</v>
      </c>
      <c r="AH77" s="3">
        <f t="shared" si="43"/>
        <v>55.718475073313783</v>
      </c>
      <c r="AI77">
        <v>18</v>
      </c>
      <c r="AJ77" s="3">
        <f t="shared" si="44"/>
        <v>2.6392961876832843</v>
      </c>
      <c r="AK77">
        <v>20</v>
      </c>
      <c r="AL77" s="3">
        <f t="shared" si="45"/>
        <v>2.9325513196480939</v>
      </c>
      <c r="AM77">
        <v>10</v>
      </c>
      <c r="AN77" s="3">
        <f t="shared" si="46"/>
        <v>1.466275659824047</v>
      </c>
      <c r="AO77">
        <v>169</v>
      </c>
      <c r="AP77" s="3">
        <f t="shared" si="47"/>
        <v>24.780058651026394</v>
      </c>
      <c r="AQ77">
        <v>3</v>
      </c>
      <c r="AR77" s="3">
        <f t="shared" si="48"/>
        <v>0.43988269794721407</v>
      </c>
      <c r="AS77">
        <v>10</v>
      </c>
      <c r="AT77" s="3">
        <f t="shared" si="49"/>
        <v>1.466275659824047</v>
      </c>
      <c r="AU77" t="s">
        <v>314</v>
      </c>
      <c r="AV77" s="72" t="str">
        <f>Дума_партии[[#This Row],[КОИБ]]</f>
        <v>N</v>
      </c>
      <c r="AW77" s="1" t="str">
        <f>IF(Дума_партии[[#This Row],[Наблюдателей]]=0,"",Дума_партии[[#This Row],[Наблюдателей]])</f>
        <v/>
      </c>
      <c r="AX77"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272.1883656509695</v>
      </c>
      <c r="AY77" s="10">
        <f>2*(Дума_одномандатный[[#This Row],[Майданов Денис Васильевич]]-(AC$203/100)*Дума_одномандатный[[#This Row],[Число действительных избирательных бюллетеней]])</f>
        <v>393.03999999999996</v>
      </c>
      <c r="AZ77" s="10">
        <f>(Дума_одномандатный[[#This Row],[Вброс]]+Дума_одномандатный[[#This Row],[Перекладывание]])/2</f>
        <v>332.6141828254847</v>
      </c>
    </row>
    <row r="78" spans="1:52" x14ac:dyDescent="0.4">
      <c r="A78" t="s">
        <v>49</v>
      </c>
      <c r="B78" t="s">
        <v>50</v>
      </c>
      <c r="C78" t="s">
        <v>51</v>
      </c>
      <c r="D78" t="s">
        <v>138</v>
      </c>
      <c r="E78" t="s">
        <v>206</v>
      </c>
      <c r="F78" s="1">
        <f t="shared" ca="1" si="34"/>
        <v>3963</v>
      </c>
      <c r="G78" s="8" t="str">
        <f>Дума_партии[[#This Row],[Местоположение]]</f>
        <v>Летний Отдых</v>
      </c>
      <c r="H78" s="2" t="str">
        <f>LEFT(Дума_одномандатный[[#This Row],[tik]],4)&amp;"."&amp;IF(ISNUMBER(VALUE(RIGHT(Дума_одномандатный[[#This Row],[tik]]))),RIGHT(Дума_одномандатный[[#This Row],[tik]]),"")</f>
        <v>Один.</v>
      </c>
      <c r="I78">
        <v>2038</v>
      </c>
      <c r="J78" s="8">
        <f>Дума_одномандатный[[#This Row],[Число избирателей, внесенных в список избирателей на момент окончания голосования]]</f>
        <v>2038</v>
      </c>
      <c r="K78">
        <v>1500</v>
      </c>
      <c r="L78">
        <v>0</v>
      </c>
      <c r="M78">
        <v>838</v>
      </c>
      <c r="N78">
        <v>274</v>
      </c>
      <c r="O78" s="3">
        <f t="shared" si="35"/>
        <v>54.563297350343476</v>
      </c>
      <c r="P78" s="3">
        <f t="shared" si="36"/>
        <v>13.444553483807654</v>
      </c>
      <c r="Q78">
        <v>388</v>
      </c>
      <c r="R78">
        <v>274</v>
      </c>
      <c r="S78">
        <v>838</v>
      </c>
      <c r="T78" s="1">
        <f t="shared" si="37"/>
        <v>1112</v>
      </c>
      <c r="U78" s="3">
        <f t="shared" si="38"/>
        <v>24.640287769784173</v>
      </c>
      <c r="V78">
        <v>70</v>
      </c>
      <c r="W78" s="3">
        <f t="shared" si="39"/>
        <v>6.2949640287769784</v>
      </c>
      <c r="X78">
        <v>1042</v>
      </c>
      <c r="Y78">
        <v>0</v>
      </c>
      <c r="Z78">
        <v>0</v>
      </c>
      <c r="AA78">
        <v>28</v>
      </c>
      <c r="AB78" s="3">
        <f t="shared" si="40"/>
        <v>2.5179856115107913</v>
      </c>
      <c r="AC78">
        <v>49</v>
      </c>
      <c r="AD78" s="3">
        <f t="shared" si="41"/>
        <v>4.4064748201438846</v>
      </c>
      <c r="AE78">
        <v>67</v>
      </c>
      <c r="AF78" s="3">
        <f t="shared" si="42"/>
        <v>6.0251798561151082</v>
      </c>
      <c r="AG78">
        <v>507</v>
      </c>
      <c r="AH78" s="3">
        <f t="shared" si="43"/>
        <v>45.593525179856115</v>
      </c>
      <c r="AI78">
        <v>86</v>
      </c>
      <c r="AJ78" s="3">
        <f t="shared" si="44"/>
        <v>7.7338129496402876</v>
      </c>
      <c r="AK78">
        <v>61</v>
      </c>
      <c r="AL78" s="3">
        <f t="shared" si="45"/>
        <v>5.485611510791367</v>
      </c>
      <c r="AM78">
        <v>10</v>
      </c>
      <c r="AN78" s="3">
        <f t="shared" si="46"/>
        <v>0.89928057553956831</v>
      </c>
      <c r="AO78">
        <v>195</v>
      </c>
      <c r="AP78" s="3">
        <f t="shared" si="47"/>
        <v>17.535971223021583</v>
      </c>
      <c r="AQ78">
        <v>22</v>
      </c>
      <c r="AR78" s="3">
        <f t="shared" si="48"/>
        <v>1.9784172661870503</v>
      </c>
      <c r="AS78">
        <v>17</v>
      </c>
      <c r="AT78" s="3">
        <f t="shared" si="49"/>
        <v>1.5287769784172662</v>
      </c>
      <c r="AU78" t="s">
        <v>314</v>
      </c>
      <c r="AV78" s="72">
        <f>Дума_партии[[#This Row],[КОИБ]]</f>
        <v>2017</v>
      </c>
      <c r="AW78" s="1" t="str">
        <f>IF(Дума_партии[[#This Row],[Наблюдателей]]=0,"",Дума_партии[[#This Row],[Наблюдателей]])</f>
        <v/>
      </c>
      <c r="AX78"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301.00277008310246</v>
      </c>
      <c r="AY78" s="10">
        <f>2*(Дума_одномандатный[[#This Row],[Майданов Денис Васильевич]]-(AC$203/100)*Дума_одномандатный[[#This Row],[Число действительных избирательных бюллетеней]])</f>
        <v>434.64799999999991</v>
      </c>
      <c r="AZ78" s="10">
        <f>(Дума_одномандатный[[#This Row],[Вброс]]+Дума_одномандатный[[#This Row],[Перекладывание]])/2</f>
        <v>367.82538504155116</v>
      </c>
    </row>
    <row r="79" spans="1:52" x14ac:dyDescent="0.4">
      <c r="A79" t="s">
        <v>49</v>
      </c>
      <c r="B79" t="s">
        <v>50</v>
      </c>
      <c r="C79" t="s">
        <v>51</v>
      </c>
      <c r="D79" t="s">
        <v>138</v>
      </c>
      <c r="E79" t="s">
        <v>207</v>
      </c>
      <c r="F79" s="1">
        <f t="shared" ca="1" si="34"/>
        <v>3965</v>
      </c>
      <c r="G79" s="8" t="str">
        <f>Дума_партии[[#This Row],[Местоположение]]</f>
        <v>Хлюпино</v>
      </c>
      <c r="H79" s="2" t="str">
        <f>LEFT(Дума_одномандатный[[#This Row],[tik]],4)&amp;"."&amp;IF(ISNUMBER(VALUE(RIGHT(Дума_одномандатный[[#This Row],[tik]]))),RIGHT(Дума_одномандатный[[#This Row],[tik]]),"")</f>
        <v>Один.</v>
      </c>
      <c r="I79">
        <v>1190</v>
      </c>
      <c r="J79" s="8">
        <f>Дума_одномандатный[[#This Row],[Число избирателей, внесенных в список избирателей на момент окончания голосования]]</f>
        <v>1190</v>
      </c>
      <c r="K79">
        <v>1000</v>
      </c>
      <c r="L79">
        <v>0</v>
      </c>
      <c r="M79">
        <v>477</v>
      </c>
      <c r="N79">
        <v>238</v>
      </c>
      <c r="O79" s="3">
        <f t="shared" si="35"/>
        <v>60.084033613445378</v>
      </c>
      <c r="P79" s="3">
        <f t="shared" si="36"/>
        <v>20</v>
      </c>
      <c r="Q79">
        <v>285</v>
      </c>
      <c r="R79">
        <v>238</v>
      </c>
      <c r="S79">
        <v>380</v>
      </c>
      <c r="T79" s="1">
        <f t="shared" si="37"/>
        <v>618</v>
      </c>
      <c r="U79" s="3">
        <f t="shared" si="38"/>
        <v>38.511326860841422</v>
      </c>
      <c r="V79">
        <v>22</v>
      </c>
      <c r="W79" s="3">
        <f t="shared" si="39"/>
        <v>3.5598705501618122</v>
      </c>
      <c r="X79">
        <v>596</v>
      </c>
      <c r="Y79">
        <v>0</v>
      </c>
      <c r="Z79">
        <v>0</v>
      </c>
      <c r="AA79">
        <v>23</v>
      </c>
      <c r="AB79" s="3">
        <f t="shared" si="40"/>
        <v>3.7216828478964401</v>
      </c>
      <c r="AC79">
        <v>24</v>
      </c>
      <c r="AD79" s="3">
        <f t="shared" si="41"/>
        <v>3.883495145631068</v>
      </c>
      <c r="AE79">
        <v>34</v>
      </c>
      <c r="AF79" s="3">
        <f t="shared" si="42"/>
        <v>5.5016181229773462</v>
      </c>
      <c r="AG79">
        <v>316</v>
      </c>
      <c r="AH79" s="3">
        <f t="shared" si="43"/>
        <v>51.132686084142392</v>
      </c>
      <c r="AI79">
        <v>33</v>
      </c>
      <c r="AJ79" s="3">
        <f t="shared" si="44"/>
        <v>5.3398058252427187</v>
      </c>
      <c r="AK79">
        <v>39</v>
      </c>
      <c r="AL79" s="3">
        <f t="shared" si="45"/>
        <v>6.3106796116504853</v>
      </c>
      <c r="AM79">
        <v>7</v>
      </c>
      <c r="AN79" s="3">
        <f t="shared" si="46"/>
        <v>1.1326860841423949</v>
      </c>
      <c r="AO79">
        <v>90</v>
      </c>
      <c r="AP79" s="3">
        <f t="shared" si="47"/>
        <v>14.563106796116505</v>
      </c>
      <c r="AQ79">
        <v>23</v>
      </c>
      <c r="AR79" s="3">
        <f t="shared" si="48"/>
        <v>3.7216828478964401</v>
      </c>
      <c r="AS79">
        <v>7</v>
      </c>
      <c r="AT79" s="3">
        <f t="shared" si="49"/>
        <v>1.1326860841423949</v>
      </c>
      <c r="AU79" t="s">
        <v>314</v>
      </c>
      <c r="AV79" s="72">
        <f>Дума_партии[[#This Row],[КОИБ]]</f>
        <v>2017</v>
      </c>
      <c r="AW79" s="1" t="str">
        <f>IF(Дума_партии[[#This Row],[Наблюдателей]]=0,"",Дума_партии[[#This Row],[Наблюдателей]])</f>
        <v/>
      </c>
      <c r="AX79"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208.1883656509695</v>
      </c>
      <c r="AY79" s="10">
        <f>2*(Дума_одномандатный[[#This Row],[Майданов Денис Васильевич]]-(AC$203/100)*Дума_одномандатный[[#This Row],[Число действительных избирательных бюллетеней]])</f>
        <v>300.62399999999997</v>
      </c>
      <c r="AZ79" s="10">
        <f>(Дума_одномандатный[[#This Row],[Вброс]]+Дума_одномандатный[[#This Row],[Перекладывание]])/2</f>
        <v>254.40618282548473</v>
      </c>
    </row>
    <row r="80" spans="1:52" x14ac:dyDescent="0.4">
      <c r="A80" t="s">
        <v>49</v>
      </c>
      <c r="B80" t="s">
        <v>50</v>
      </c>
      <c r="C80" t="s">
        <v>51</v>
      </c>
      <c r="D80" t="s">
        <v>138</v>
      </c>
      <c r="E80" t="s">
        <v>208</v>
      </c>
      <c r="F80" s="1">
        <f t="shared" ca="1" si="34"/>
        <v>3966</v>
      </c>
      <c r="G80" s="8" t="str">
        <f>Дума_партии[[#This Row],[Местоположение]]</f>
        <v>Введенское</v>
      </c>
      <c r="H80" s="2" t="str">
        <f>LEFT(Дума_одномандатный[[#This Row],[tik]],4)&amp;"."&amp;IF(ISNUMBER(VALUE(RIGHT(Дума_одномандатный[[#This Row],[tik]]))),RIGHT(Дума_одномандатный[[#This Row],[tik]]),"")</f>
        <v>Один.</v>
      </c>
      <c r="I80">
        <v>1521</v>
      </c>
      <c r="J80" s="8">
        <f>Дума_одномандатный[[#This Row],[Число избирателей, внесенных в список избирателей на момент окончания голосования]]</f>
        <v>1521</v>
      </c>
      <c r="K80">
        <v>1300</v>
      </c>
      <c r="L80">
        <v>0</v>
      </c>
      <c r="M80">
        <v>475</v>
      </c>
      <c r="N80">
        <v>298</v>
      </c>
      <c r="O80" s="3">
        <f t="shared" si="35"/>
        <v>50.821827744904667</v>
      </c>
      <c r="P80" s="3">
        <f t="shared" si="36"/>
        <v>19.592373438527286</v>
      </c>
      <c r="Q80">
        <v>527</v>
      </c>
      <c r="R80">
        <v>298</v>
      </c>
      <c r="S80">
        <v>475</v>
      </c>
      <c r="T80" s="1">
        <f t="shared" si="37"/>
        <v>773</v>
      </c>
      <c r="U80" s="3">
        <f t="shared" si="38"/>
        <v>38.551099611901684</v>
      </c>
      <c r="V80">
        <v>32</v>
      </c>
      <c r="W80" s="3">
        <f t="shared" si="39"/>
        <v>4.1397153945666236</v>
      </c>
      <c r="X80">
        <v>741</v>
      </c>
      <c r="Y80">
        <v>0</v>
      </c>
      <c r="Z80">
        <v>0</v>
      </c>
      <c r="AA80">
        <v>27</v>
      </c>
      <c r="AB80" s="3">
        <f t="shared" si="40"/>
        <v>3.4928848641655885</v>
      </c>
      <c r="AC80">
        <v>58</v>
      </c>
      <c r="AD80" s="3">
        <f t="shared" si="41"/>
        <v>7.5032341526520048</v>
      </c>
      <c r="AE80">
        <v>55</v>
      </c>
      <c r="AF80" s="3">
        <f t="shared" si="42"/>
        <v>7.115135834411384</v>
      </c>
      <c r="AG80">
        <v>346</v>
      </c>
      <c r="AH80" s="3">
        <f t="shared" si="43"/>
        <v>44.760672703751617</v>
      </c>
      <c r="AI80">
        <v>57</v>
      </c>
      <c r="AJ80" s="3">
        <f t="shared" si="44"/>
        <v>7.3738680465717978</v>
      </c>
      <c r="AK80">
        <v>36</v>
      </c>
      <c r="AL80" s="3">
        <f t="shared" si="45"/>
        <v>4.6571798188874514</v>
      </c>
      <c r="AM80">
        <v>9</v>
      </c>
      <c r="AN80" s="3">
        <f t="shared" si="46"/>
        <v>1.1642949547218628</v>
      </c>
      <c r="AO80">
        <v>115</v>
      </c>
      <c r="AP80" s="3">
        <f t="shared" si="47"/>
        <v>14.877102199223803</v>
      </c>
      <c r="AQ80">
        <v>25</v>
      </c>
      <c r="AR80" s="3">
        <f t="shared" si="48"/>
        <v>3.2341526520051747</v>
      </c>
      <c r="AS80">
        <v>13</v>
      </c>
      <c r="AT80" s="3">
        <f t="shared" si="49"/>
        <v>1.6817593790426908</v>
      </c>
      <c r="AU80" t="s">
        <v>314</v>
      </c>
      <c r="AV80" s="72">
        <f>Дума_партии[[#This Row],[КОИБ]]</f>
        <v>2017</v>
      </c>
      <c r="AW80" s="1" t="str">
        <f>IF(Дума_партии[[#This Row],[Наблюдателей]]=0,"",Дума_партии[[#This Row],[Наблюдателей]])</f>
        <v/>
      </c>
      <c r="AX80"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193.90858725761771</v>
      </c>
      <c r="AY80" s="10">
        <f>2*(Дума_одномандатный[[#This Row],[Майданов Денис Васильевич]]-(AC$203/100)*Дума_одномандатный[[#This Row],[Число действительных избирательных бюллетеней]])</f>
        <v>280.00399999999996</v>
      </c>
      <c r="AZ80" s="10">
        <f>(Дума_одномандатный[[#This Row],[Вброс]]+Дума_одномандатный[[#This Row],[Перекладывание]])/2</f>
        <v>236.95629362880885</v>
      </c>
    </row>
    <row r="81" spans="1:52" x14ac:dyDescent="0.4">
      <c r="A81" t="s">
        <v>49</v>
      </c>
      <c r="B81" t="s">
        <v>50</v>
      </c>
      <c r="C81" t="s">
        <v>51</v>
      </c>
      <c r="D81" t="s">
        <v>138</v>
      </c>
      <c r="E81" t="s">
        <v>209</v>
      </c>
      <c r="F81" s="1">
        <f t="shared" ca="1" si="34"/>
        <v>3968</v>
      </c>
      <c r="G81" s="8" t="str">
        <f>Дума_партии[[#This Row],[Местоположение]]</f>
        <v>Гигирево</v>
      </c>
      <c r="H81" s="2" t="str">
        <f>LEFT(Дума_одномандатный[[#This Row],[tik]],4)&amp;"."&amp;IF(ISNUMBER(VALUE(RIGHT(Дума_одномандатный[[#This Row],[tik]]))),RIGHT(Дума_одномандатный[[#This Row],[tik]]),"")</f>
        <v>Один.</v>
      </c>
      <c r="I81">
        <v>710</v>
      </c>
      <c r="J81" s="8">
        <f>Дума_одномандатный[[#This Row],[Число избирателей, внесенных в список избирателей на момент окончания голосования]]</f>
        <v>710</v>
      </c>
      <c r="K81">
        <v>650</v>
      </c>
      <c r="L81">
        <v>0</v>
      </c>
      <c r="M81">
        <v>190</v>
      </c>
      <c r="N81">
        <v>97</v>
      </c>
      <c r="O81" s="3">
        <f t="shared" si="35"/>
        <v>40.422535211267608</v>
      </c>
      <c r="P81" s="3">
        <f t="shared" si="36"/>
        <v>13.661971830985916</v>
      </c>
      <c r="Q81">
        <v>363</v>
      </c>
      <c r="R81">
        <v>97</v>
      </c>
      <c r="S81">
        <v>190</v>
      </c>
      <c r="T81" s="1">
        <f t="shared" si="37"/>
        <v>287</v>
      </c>
      <c r="U81" s="3">
        <f t="shared" si="38"/>
        <v>33.797909407665507</v>
      </c>
      <c r="V81">
        <v>11</v>
      </c>
      <c r="W81" s="3">
        <f t="shared" si="39"/>
        <v>3.8327526132404182</v>
      </c>
      <c r="X81">
        <v>276</v>
      </c>
      <c r="Y81">
        <v>0</v>
      </c>
      <c r="Z81">
        <v>0</v>
      </c>
      <c r="AA81">
        <v>7</v>
      </c>
      <c r="AB81" s="3">
        <f t="shared" si="40"/>
        <v>2.4390243902439024</v>
      </c>
      <c r="AC81">
        <v>5</v>
      </c>
      <c r="AD81" s="3">
        <f t="shared" si="41"/>
        <v>1.7421602787456445</v>
      </c>
      <c r="AE81">
        <v>27</v>
      </c>
      <c r="AF81" s="3">
        <f t="shared" si="42"/>
        <v>9.4076655052264808</v>
      </c>
      <c r="AG81">
        <v>122</v>
      </c>
      <c r="AH81" s="3">
        <f t="shared" si="43"/>
        <v>42.508710801393725</v>
      </c>
      <c r="AI81">
        <v>18</v>
      </c>
      <c r="AJ81" s="3">
        <f t="shared" si="44"/>
        <v>6.2717770034843205</v>
      </c>
      <c r="AK81">
        <v>18</v>
      </c>
      <c r="AL81" s="3">
        <f t="shared" si="45"/>
        <v>6.2717770034843205</v>
      </c>
      <c r="AM81">
        <v>7</v>
      </c>
      <c r="AN81" s="3">
        <f t="shared" si="46"/>
        <v>2.4390243902439024</v>
      </c>
      <c r="AO81">
        <v>53</v>
      </c>
      <c r="AP81" s="3">
        <f t="shared" si="47"/>
        <v>18.466898954703833</v>
      </c>
      <c r="AQ81">
        <v>13</v>
      </c>
      <c r="AR81" s="3">
        <f t="shared" si="48"/>
        <v>4.529616724738676</v>
      </c>
      <c r="AS81">
        <v>6</v>
      </c>
      <c r="AT81" s="3">
        <f t="shared" si="49"/>
        <v>2.0905923344947737</v>
      </c>
      <c r="AU81" t="s">
        <v>314</v>
      </c>
      <c r="AV81" s="72">
        <f>Дума_партии[[#This Row],[КОИБ]]</f>
        <v>2017</v>
      </c>
      <c r="AW81" s="1" t="str">
        <f>IF(Дума_партии[[#This Row],[Наблюдателей]]=0,"",Дума_партии[[#This Row],[Наблюдателей]])</f>
        <v/>
      </c>
      <c r="AX81"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62.703601108033233</v>
      </c>
      <c r="AY81" s="10">
        <f>2*(Дума_одномандатный[[#This Row],[Майданов Денис Васильевич]]-(AC$203/100)*Дума_одномандатный[[#This Row],[Число действительных избирательных бюллетеней]])</f>
        <v>90.543999999999983</v>
      </c>
      <c r="AZ81" s="10">
        <f>(Дума_одномандатный[[#This Row],[Вброс]]+Дума_одномандатный[[#This Row],[Перекладывание]])/2</f>
        <v>76.623800554016611</v>
      </c>
    </row>
    <row r="82" spans="1:52" x14ac:dyDescent="0.4">
      <c r="A82" t="s">
        <v>49</v>
      </c>
      <c r="B82" t="s">
        <v>50</v>
      </c>
      <c r="C82" t="s">
        <v>51</v>
      </c>
      <c r="D82" t="s">
        <v>138</v>
      </c>
      <c r="E82" t="s">
        <v>210</v>
      </c>
      <c r="F82" s="1">
        <f t="shared" ca="1" si="34"/>
        <v>3969</v>
      </c>
      <c r="G82" s="8" t="str">
        <f>Дума_партии[[#This Row],[Местоположение]]</f>
        <v>Новый Городок</v>
      </c>
      <c r="H82" s="2" t="str">
        <f>LEFT(Дума_одномандатный[[#This Row],[tik]],4)&amp;"."&amp;IF(ISNUMBER(VALUE(RIGHT(Дума_одномандатный[[#This Row],[tik]]))),RIGHT(Дума_одномандатный[[#This Row],[tik]]),"")</f>
        <v>Один.</v>
      </c>
      <c r="I82">
        <v>1525</v>
      </c>
      <c r="J82" s="8">
        <f>Дума_одномандатный[[#This Row],[Число избирателей, внесенных в список избирателей на момент окончания голосования]]</f>
        <v>1525</v>
      </c>
      <c r="K82">
        <v>1300</v>
      </c>
      <c r="L82">
        <v>0</v>
      </c>
      <c r="M82">
        <v>691</v>
      </c>
      <c r="N82">
        <v>95</v>
      </c>
      <c r="O82" s="3">
        <f t="shared" si="35"/>
        <v>51.540983606557376</v>
      </c>
      <c r="P82" s="3">
        <f t="shared" si="36"/>
        <v>6.2295081967213113</v>
      </c>
      <c r="Q82">
        <v>514</v>
      </c>
      <c r="R82">
        <v>95</v>
      </c>
      <c r="S82">
        <v>691</v>
      </c>
      <c r="T82" s="1">
        <f t="shared" si="37"/>
        <v>786</v>
      </c>
      <c r="U82" s="3">
        <f t="shared" si="38"/>
        <v>12.086513994910941</v>
      </c>
      <c r="V82">
        <v>54</v>
      </c>
      <c r="W82" s="3">
        <f t="shared" si="39"/>
        <v>6.8702290076335881</v>
      </c>
      <c r="X82">
        <v>732</v>
      </c>
      <c r="Y82">
        <v>0</v>
      </c>
      <c r="Z82">
        <v>0</v>
      </c>
      <c r="AA82">
        <v>8</v>
      </c>
      <c r="AB82" s="3">
        <f t="shared" si="40"/>
        <v>1.0178117048346056</v>
      </c>
      <c r="AC82">
        <v>44</v>
      </c>
      <c r="AD82" s="3">
        <f t="shared" si="41"/>
        <v>5.5979643765903306</v>
      </c>
      <c r="AE82">
        <v>68</v>
      </c>
      <c r="AF82" s="3">
        <f t="shared" si="42"/>
        <v>8.6513994910941481</v>
      </c>
      <c r="AG82">
        <v>274</v>
      </c>
      <c r="AH82" s="3">
        <f t="shared" si="43"/>
        <v>34.860050890585242</v>
      </c>
      <c r="AI82">
        <v>51</v>
      </c>
      <c r="AJ82" s="3">
        <f t="shared" si="44"/>
        <v>6.4885496183206106</v>
      </c>
      <c r="AK82">
        <v>54</v>
      </c>
      <c r="AL82" s="3">
        <f t="shared" si="45"/>
        <v>6.8702290076335881</v>
      </c>
      <c r="AM82">
        <v>11</v>
      </c>
      <c r="AN82" s="3">
        <f t="shared" si="46"/>
        <v>1.3994910941475827</v>
      </c>
      <c r="AO82">
        <v>159</v>
      </c>
      <c r="AP82" s="3">
        <f t="shared" si="47"/>
        <v>20.229007633587788</v>
      </c>
      <c r="AQ82">
        <v>47</v>
      </c>
      <c r="AR82" s="3">
        <f t="shared" si="48"/>
        <v>5.9796437659033082</v>
      </c>
      <c r="AS82">
        <v>16</v>
      </c>
      <c r="AT82" s="3">
        <f t="shared" si="49"/>
        <v>2.0356234096692112</v>
      </c>
      <c r="AU82" t="s">
        <v>314</v>
      </c>
      <c r="AV82" s="72">
        <f>Дума_партии[[#This Row],[КОИБ]]</f>
        <v>2017</v>
      </c>
      <c r="AW82" s="1" t="str">
        <f>IF(Дума_партии[[#This Row],[Наблюдателей]]=0,"",Дума_партии[[#This Row],[Наблюдателей]])</f>
        <v/>
      </c>
      <c r="AX82"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97.650969529085842</v>
      </c>
      <c r="AY82" s="10">
        <f>2*(Дума_одномандатный[[#This Row],[Майданов Денис Васильевич]]-(AC$203/100)*Дума_одномандатный[[#This Row],[Число действительных избирательных бюллетеней]])</f>
        <v>141.00799999999998</v>
      </c>
      <c r="AZ82" s="10">
        <f>(Дума_одномандатный[[#This Row],[Вброс]]+Дума_одномандатный[[#This Row],[Перекладывание]])/2</f>
        <v>119.32948476454291</v>
      </c>
    </row>
    <row r="83" spans="1:52" x14ac:dyDescent="0.4">
      <c r="A83" t="s">
        <v>49</v>
      </c>
      <c r="B83" t="s">
        <v>50</v>
      </c>
      <c r="C83" t="s">
        <v>51</v>
      </c>
      <c r="D83" t="s">
        <v>138</v>
      </c>
      <c r="E83" t="s">
        <v>211</v>
      </c>
      <c r="F83" s="1">
        <f t="shared" ca="1" si="34"/>
        <v>3971</v>
      </c>
      <c r="G83" s="8" t="str">
        <f>Дума_партии[[#This Row],[Местоположение]]</f>
        <v>Новый Городок</v>
      </c>
      <c r="H83" s="2" t="str">
        <f>LEFT(Дума_одномандатный[[#This Row],[tik]],4)&amp;"."&amp;IF(ISNUMBER(VALUE(RIGHT(Дума_одномандатный[[#This Row],[tik]]))),RIGHT(Дума_одномандатный[[#This Row],[tik]]),"")</f>
        <v>Один.</v>
      </c>
      <c r="I83">
        <v>1472</v>
      </c>
      <c r="J83" s="8">
        <f>Дума_одномандатный[[#This Row],[Число избирателей, внесенных в список избирателей на момент окончания голосования]]</f>
        <v>1472</v>
      </c>
      <c r="K83">
        <v>1300</v>
      </c>
      <c r="L83">
        <v>0</v>
      </c>
      <c r="M83">
        <v>583</v>
      </c>
      <c r="N83">
        <v>15</v>
      </c>
      <c r="O83" s="3">
        <f t="shared" si="35"/>
        <v>40.625</v>
      </c>
      <c r="P83" s="3">
        <f t="shared" si="36"/>
        <v>1.0190217391304348</v>
      </c>
      <c r="Q83">
        <v>702</v>
      </c>
      <c r="R83">
        <v>15</v>
      </c>
      <c r="S83">
        <v>583</v>
      </c>
      <c r="T83" s="1">
        <f t="shared" si="37"/>
        <v>598</v>
      </c>
      <c r="U83" s="3">
        <f t="shared" si="38"/>
        <v>2.508361204013378</v>
      </c>
      <c r="V83">
        <v>39</v>
      </c>
      <c r="W83" s="3">
        <f t="shared" si="39"/>
        <v>6.5217391304347823</v>
      </c>
      <c r="X83">
        <v>559</v>
      </c>
      <c r="Y83">
        <v>0</v>
      </c>
      <c r="Z83">
        <v>0</v>
      </c>
      <c r="AA83">
        <v>18</v>
      </c>
      <c r="AB83" s="3">
        <f t="shared" si="40"/>
        <v>3.0100334448160537</v>
      </c>
      <c r="AC83">
        <v>48</v>
      </c>
      <c r="AD83" s="3">
        <f t="shared" si="41"/>
        <v>8.0267558528428093</v>
      </c>
      <c r="AE83">
        <v>49</v>
      </c>
      <c r="AF83" s="3">
        <f t="shared" si="42"/>
        <v>8.1939799331103682</v>
      </c>
      <c r="AG83">
        <v>158</v>
      </c>
      <c r="AH83" s="3">
        <f t="shared" si="43"/>
        <v>26.421404682274247</v>
      </c>
      <c r="AI83">
        <v>36</v>
      </c>
      <c r="AJ83" s="3">
        <f t="shared" si="44"/>
        <v>6.0200668896321075</v>
      </c>
      <c r="AK83">
        <v>49</v>
      </c>
      <c r="AL83" s="3">
        <f t="shared" si="45"/>
        <v>8.1939799331103682</v>
      </c>
      <c r="AM83">
        <v>11</v>
      </c>
      <c r="AN83" s="3">
        <f t="shared" si="46"/>
        <v>1.8394648829431439</v>
      </c>
      <c r="AO83">
        <v>149</v>
      </c>
      <c r="AP83" s="3">
        <f t="shared" si="47"/>
        <v>24.916387959866221</v>
      </c>
      <c r="AQ83">
        <v>30</v>
      </c>
      <c r="AR83" s="3">
        <f t="shared" si="48"/>
        <v>5.0167224080267561</v>
      </c>
      <c r="AS83">
        <v>11</v>
      </c>
      <c r="AT83" s="3">
        <f t="shared" si="49"/>
        <v>1.8394648829431439</v>
      </c>
      <c r="AU83" t="s">
        <v>314</v>
      </c>
      <c r="AV83" s="72">
        <f>Дума_партии[[#This Row],[КОИБ]]</f>
        <v>2017</v>
      </c>
      <c r="AW83" s="1" t="str">
        <f>IF(Дума_партии[[#This Row],[Наблюдателей]]=0,"",Дума_партии[[#This Row],[Наблюдателей]])</f>
        <v/>
      </c>
      <c r="AX83"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3.5983379501385002</v>
      </c>
      <c r="AY83" s="10">
        <f>2*(Дума_одномандатный[[#This Row],[Майданов Денис Васильевич]]-(AC$203/100)*Дума_одномандатный[[#This Row],[Число действительных избирательных бюллетеней]])</f>
        <v>5.1959999999999695</v>
      </c>
      <c r="AZ83" s="10">
        <f>(Дума_одномандатный[[#This Row],[Вброс]]+Дума_одномандатный[[#This Row],[Перекладывание]])/2</f>
        <v>4.3971689750692349</v>
      </c>
    </row>
    <row r="84" spans="1:52" x14ac:dyDescent="0.4">
      <c r="A84" t="s">
        <v>49</v>
      </c>
      <c r="B84" t="s">
        <v>50</v>
      </c>
      <c r="C84" t="s">
        <v>51</v>
      </c>
      <c r="D84" t="s">
        <v>138</v>
      </c>
      <c r="E84" t="s">
        <v>212</v>
      </c>
      <c r="F84" s="1">
        <f t="shared" ca="1" si="34"/>
        <v>3972</v>
      </c>
      <c r="G84" s="8" t="str">
        <f>Дума_партии[[#This Row],[Местоположение]]</f>
        <v>Новый Городок</v>
      </c>
      <c r="H84" s="2" t="str">
        <f>LEFT(Дума_одномандатный[[#This Row],[tik]],4)&amp;"."&amp;IF(ISNUMBER(VALUE(RIGHT(Дума_одномандатный[[#This Row],[tik]]))),RIGHT(Дума_одномандатный[[#This Row],[tik]]),"")</f>
        <v>Один.</v>
      </c>
      <c r="I84">
        <v>1933</v>
      </c>
      <c r="J84" s="8">
        <f>Дума_одномандатный[[#This Row],[Число избирателей, внесенных в список избирателей на момент окончания голосования]]</f>
        <v>1933</v>
      </c>
      <c r="K84">
        <v>1500</v>
      </c>
      <c r="L84">
        <v>0</v>
      </c>
      <c r="M84">
        <v>844</v>
      </c>
      <c r="N84">
        <v>82</v>
      </c>
      <c r="O84" s="3">
        <f t="shared" si="35"/>
        <v>47.904811174340402</v>
      </c>
      <c r="P84" s="3">
        <f t="shared" si="36"/>
        <v>4.2421107087428869</v>
      </c>
      <c r="Q84">
        <v>574</v>
      </c>
      <c r="R84">
        <v>82</v>
      </c>
      <c r="S84">
        <v>841</v>
      </c>
      <c r="T84" s="1">
        <f t="shared" si="37"/>
        <v>923</v>
      </c>
      <c r="U84" s="3">
        <f t="shared" si="38"/>
        <v>8.8840736728060676</v>
      </c>
      <c r="V84">
        <v>57</v>
      </c>
      <c r="W84" s="3">
        <f t="shared" si="39"/>
        <v>6.1755146262188516</v>
      </c>
      <c r="X84">
        <v>866</v>
      </c>
      <c r="Y84">
        <v>0</v>
      </c>
      <c r="Z84">
        <v>0</v>
      </c>
      <c r="AA84">
        <v>38</v>
      </c>
      <c r="AB84" s="3">
        <f t="shared" si="40"/>
        <v>4.117009750812568</v>
      </c>
      <c r="AC84">
        <v>101</v>
      </c>
      <c r="AD84" s="3">
        <f t="shared" si="41"/>
        <v>10.942578548212351</v>
      </c>
      <c r="AE84">
        <v>60</v>
      </c>
      <c r="AF84" s="3">
        <f t="shared" si="42"/>
        <v>6.5005417118093174</v>
      </c>
      <c r="AG84">
        <v>251</v>
      </c>
      <c r="AH84" s="3">
        <f t="shared" si="43"/>
        <v>27.193932827735644</v>
      </c>
      <c r="AI84">
        <v>95</v>
      </c>
      <c r="AJ84" s="3">
        <f t="shared" si="44"/>
        <v>10.29252437703142</v>
      </c>
      <c r="AK84">
        <v>76</v>
      </c>
      <c r="AL84" s="3">
        <f t="shared" si="45"/>
        <v>8.2340195016251361</v>
      </c>
      <c r="AM84">
        <v>34</v>
      </c>
      <c r="AN84" s="3">
        <f t="shared" si="46"/>
        <v>3.6836403033586134</v>
      </c>
      <c r="AO84">
        <v>147</v>
      </c>
      <c r="AP84" s="3">
        <f t="shared" si="47"/>
        <v>15.926327193932828</v>
      </c>
      <c r="AQ84">
        <v>41</v>
      </c>
      <c r="AR84" s="3">
        <f t="shared" si="48"/>
        <v>4.4420368364030338</v>
      </c>
      <c r="AS84">
        <v>23</v>
      </c>
      <c r="AT84" s="3">
        <f t="shared" si="49"/>
        <v>2.4918743228602382</v>
      </c>
      <c r="AU84" t="s">
        <v>314</v>
      </c>
      <c r="AV84" s="72">
        <f>Дума_партии[[#This Row],[КОИБ]]</f>
        <v>2017</v>
      </c>
      <c r="AW84" s="1" t="str">
        <f>IF(Дума_партии[[#This Row],[Наблюдателей]]=0,"",Дума_партии[[#This Row],[Наблюдателей]])</f>
        <v/>
      </c>
      <c r="AX84"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14.199445983379462</v>
      </c>
      <c r="AY84" s="10">
        <f>2*(Дума_одномандатный[[#This Row],[Майданов Денис Васильевич]]-(AC$203/100)*Дума_одномандатный[[#This Row],[Число действительных избирательных бюллетеней]])</f>
        <v>20.503999999999962</v>
      </c>
      <c r="AZ84" s="10">
        <f>(Дума_одномандатный[[#This Row],[Вброс]]+Дума_одномандатный[[#This Row],[Перекладывание]])/2</f>
        <v>17.351722991689712</v>
      </c>
    </row>
    <row r="85" spans="1:52" x14ac:dyDescent="0.4">
      <c r="A85" t="s">
        <v>49</v>
      </c>
      <c r="B85" t="s">
        <v>50</v>
      </c>
      <c r="C85" t="s">
        <v>51</v>
      </c>
      <c r="D85" t="s">
        <v>138</v>
      </c>
      <c r="E85" t="s">
        <v>213</v>
      </c>
      <c r="F85" s="1">
        <f t="shared" ca="1" si="34"/>
        <v>3974</v>
      </c>
      <c r="G85" s="8" t="str">
        <f>Дума_партии[[#This Row],[Местоположение]]</f>
        <v>пос. Санатория им. Герцена</v>
      </c>
      <c r="H85" s="2" t="str">
        <f>LEFT(Дума_одномандатный[[#This Row],[tik]],4)&amp;"."&amp;IF(ISNUMBER(VALUE(RIGHT(Дума_одномандатный[[#This Row],[tik]]))),RIGHT(Дума_одномандатный[[#This Row],[tik]]),"")</f>
        <v>Один.</v>
      </c>
      <c r="I85">
        <v>2046</v>
      </c>
      <c r="J85" s="8">
        <f>Дума_одномандатный[[#This Row],[Число избирателей, внесенных в список избирателей на момент окончания голосования]]</f>
        <v>2046</v>
      </c>
      <c r="K85">
        <v>1500</v>
      </c>
      <c r="L85">
        <v>0</v>
      </c>
      <c r="M85">
        <v>774</v>
      </c>
      <c r="N85">
        <v>113</v>
      </c>
      <c r="O85" s="3">
        <f t="shared" si="35"/>
        <v>43.352883675464319</v>
      </c>
      <c r="P85" s="3">
        <f t="shared" si="36"/>
        <v>5.5229716520039105</v>
      </c>
      <c r="Q85">
        <v>613</v>
      </c>
      <c r="R85">
        <v>113</v>
      </c>
      <c r="S85">
        <v>774</v>
      </c>
      <c r="T85" s="1">
        <f t="shared" si="37"/>
        <v>887</v>
      </c>
      <c r="U85" s="3">
        <f t="shared" si="38"/>
        <v>12.739571589627959</v>
      </c>
      <c r="V85">
        <v>83</v>
      </c>
      <c r="W85" s="3">
        <f t="shared" si="39"/>
        <v>9.3573844419391214</v>
      </c>
      <c r="X85">
        <v>804</v>
      </c>
      <c r="Y85">
        <v>0</v>
      </c>
      <c r="Z85">
        <v>0</v>
      </c>
      <c r="AA85">
        <v>23</v>
      </c>
      <c r="AB85" s="3">
        <f t="shared" si="40"/>
        <v>2.593010146561443</v>
      </c>
      <c r="AC85">
        <v>56</v>
      </c>
      <c r="AD85" s="3">
        <f t="shared" si="41"/>
        <v>6.313416009019166</v>
      </c>
      <c r="AE85">
        <v>83</v>
      </c>
      <c r="AF85" s="3">
        <f t="shared" si="42"/>
        <v>9.3573844419391214</v>
      </c>
      <c r="AG85">
        <v>218</v>
      </c>
      <c r="AH85" s="3">
        <f t="shared" si="43"/>
        <v>24.577226606538897</v>
      </c>
      <c r="AI85">
        <v>66</v>
      </c>
      <c r="AJ85" s="3">
        <f t="shared" si="44"/>
        <v>7.4408117249154451</v>
      </c>
      <c r="AK85">
        <v>73</v>
      </c>
      <c r="AL85" s="3">
        <f t="shared" si="45"/>
        <v>8.2299887260428406</v>
      </c>
      <c r="AM85">
        <v>19</v>
      </c>
      <c r="AN85" s="3">
        <f t="shared" si="46"/>
        <v>2.142051860202931</v>
      </c>
      <c r="AO85">
        <v>207</v>
      </c>
      <c r="AP85" s="3">
        <f t="shared" si="47"/>
        <v>23.337091319052988</v>
      </c>
      <c r="AQ85">
        <v>36</v>
      </c>
      <c r="AR85" s="3">
        <f t="shared" si="48"/>
        <v>4.058624577226607</v>
      </c>
      <c r="AS85">
        <v>23</v>
      </c>
      <c r="AT85" s="3">
        <f t="shared" si="49"/>
        <v>2.593010146561443</v>
      </c>
      <c r="AU85" t="s">
        <v>314</v>
      </c>
      <c r="AV85" s="72">
        <f>Дума_партии[[#This Row],[КОИБ]]</f>
        <v>2017</v>
      </c>
      <c r="AW85" s="1" t="str">
        <f>IF(Дума_партии[[#This Row],[Наблюдателей]]=0,"",Дума_партии[[#This Row],[Наблюдателей]])</f>
        <v/>
      </c>
      <c r="AX85"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-7.6343490304709292</v>
      </c>
      <c r="AY85" s="10">
        <f>2*(Дума_одномандатный[[#This Row],[Майданов Денис Васильевич]]-(AC$203/100)*Дума_одномандатный[[#This Row],[Число действительных избирательных бюллетеней]])</f>
        <v>-11.024000000000058</v>
      </c>
      <c r="AZ85" s="10">
        <f>(Дума_одномандатный[[#This Row],[Вброс]]+Дума_одномандатный[[#This Row],[Перекладывание]])/2</f>
        <v>-9.3291745152354935</v>
      </c>
    </row>
    <row r="86" spans="1:52" x14ac:dyDescent="0.4">
      <c r="A86" t="s">
        <v>49</v>
      </c>
      <c r="B86" t="s">
        <v>50</v>
      </c>
      <c r="C86" t="s">
        <v>51</v>
      </c>
      <c r="D86" t="s">
        <v>138</v>
      </c>
      <c r="E86" t="s">
        <v>214</v>
      </c>
      <c r="F86" s="1">
        <f t="shared" ca="1" si="34"/>
        <v>3975</v>
      </c>
      <c r="G86" s="8" t="str">
        <f>Дума_партии[[#This Row],[Местоположение]]</f>
        <v>Старый Городок</v>
      </c>
      <c r="H86" s="2" t="str">
        <f>LEFT(Дума_одномандатный[[#This Row],[tik]],4)&amp;"."&amp;IF(ISNUMBER(VALUE(RIGHT(Дума_одномандатный[[#This Row],[tik]]))),RIGHT(Дума_одномандатный[[#This Row],[tik]]),"")</f>
        <v>Один.</v>
      </c>
      <c r="I86">
        <v>1706</v>
      </c>
      <c r="J86" s="8">
        <f>Дума_одномандатный[[#This Row],[Число избирателей, внесенных в список избирателей на момент окончания голосования]]</f>
        <v>1706</v>
      </c>
      <c r="K86">
        <v>1500</v>
      </c>
      <c r="L86">
        <v>0</v>
      </c>
      <c r="M86">
        <v>562</v>
      </c>
      <c r="N86">
        <v>131</v>
      </c>
      <c r="O86" s="3">
        <f t="shared" si="35"/>
        <v>40.621336459554513</v>
      </c>
      <c r="P86" s="3">
        <f t="shared" si="36"/>
        <v>7.6787807737397422</v>
      </c>
      <c r="Q86">
        <v>807</v>
      </c>
      <c r="R86">
        <v>131</v>
      </c>
      <c r="S86">
        <v>561</v>
      </c>
      <c r="T86" s="1">
        <f t="shared" si="37"/>
        <v>692</v>
      </c>
      <c r="U86" s="3">
        <f t="shared" si="38"/>
        <v>18.930635838150287</v>
      </c>
      <c r="V86">
        <v>24</v>
      </c>
      <c r="W86" s="3">
        <f t="shared" si="39"/>
        <v>3.4682080924855492</v>
      </c>
      <c r="X86">
        <v>668</v>
      </c>
      <c r="Y86">
        <v>0</v>
      </c>
      <c r="Z86">
        <v>0</v>
      </c>
      <c r="AA86">
        <v>24</v>
      </c>
      <c r="AB86" s="3">
        <f t="shared" si="40"/>
        <v>3.4682080924855492</v>
      </c>
      <c r="AC86">
        <v>35</v>
      </c>
      <c r="AD86" s="3">
        <f t="shared" si="41"/>
        <v>5.0578034682080926</v>
      </c>
      <c r="AE86">
        <v>59</v>
      </c>
      <c r="AF86" s="3">
        <f t="shared" si="42"/>
        <v>8.5260115606936413</v>
      </c>
      <c r="AG86">
        <v>216</v>
      </c>
      <c r="AH86" s="3">
        <f t="shared" si="43"/>
        <v>31.213872832369944</v>
      </c>
      <c r="AI86">
        <v>56</v>
      </c>
      <c r="AJ86" s="3">
        <f t="shared" si="44"/>
        <v>8.0924855491329488</v>
      </c>
      <c r="AK86">
        <v>51</v>
      </c>
      <c r="AL86" s="3">
        <f t="shared" si="45"/>
        <v>7.3699421965317917</v>
      </c>
      <c r="AM86">
        <v>20</v>
      </c>
      <c r="AN86" s="3">
        <f t="shared" si="46"/>
        <v>2.8901734104046244</v>
      </c>
      <c r="AO86">
        <v>162</v>
      </c>
      <c r="AP86" s="3">
        <f t="shared" si="47"/>
        <v>23.410404624277458</v>
      </c>
      <c r="AQ86">
        <v>29</v>
      </c>
      <c r="AR86" s="3">
        <f t="shared" si="48"/>
        <v>4.1907514450867049</v>
      </c>
      <c r="AS86">
        <v>16</v>
      </c>
      <c r="AT86" s="3">
        <f t="shared" si="49"/>
        <v>2.3121387283236996</v>
      </c>
      <c r="AU86" t="s">
        <v>314</v>
      </c>
      <c r="AV86" s="72">
        <f>Дума_партии[[#This Row],[КОИБ]]</f>
        <v>2017</v>
      </c>
      <c r="AW86" s="1" t="str">
        <f>IF(Дума_партии[[#This Row],[Наблюдателей]]=0,"",Дума_партии[[#This Row],[Наблюдателей]])</f>
        <v/>
      </c>
      <c r="AX86"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41.961218836565081</v>
      </c>
      <c r="AY86" s="10">
        <f>2*(Дума_одномандатный[[#This Row],[Майданов Денис Васильевич]]-(AC$203/100)*Дума_одномандатный[[#This Row],[Число действительных избирательных бюллетеней]])</f>
        <v>60.591999999999985</v>
      </c>
      <c r="AZ86" s="10">
        <f>(Дума_одномандатный[[#This Row],[Вброс]]+Дума_одномандатный[[#This Row],[Перекладывание]])/2</f>
        <v>51.276609418282533</v>
      </c>
    </row>
    <row r="87" spans="1:52" x14ac:dyDescent="0.4">
      <c r="A87" t="s">
        <v>49</v>
      </c>
      <c r="B87" t="s">
        <v>50</v>
      </c>
      <c r="C87" t="s">
        <v>51</v>
      </c>
      <c r="D87" t="s">
        <v>138</v>
      </c>
      <c r="E87" t="s">
        <v>215</v>
      </c>
      <c r="F87" s="1">
        <f t="shared" ca="1" si="34"/>
        <v>3976</v>
      </c>
      <c r="G87" s="8" t="str">
        <f>Дума_партии[[#This Row],[Местоположение]]</f>
        <v>Старый Городок</v>
      </c>
      <c r="H87" s="2" t="str">
        <f>LEFT(Дума_одномандатный[[#This Row],[tik]],4)&amp;"."&amp;IF(ISNUMBER(VALUE(RIGHT(Дума_одномандатный[[#This Row],[tik]]))),RIGHT(Дума_одномандатный[[#This Row],[tik]]),"")</f>
        <v>Один.</v>
      </c>
      <c r="I87">
        <v>1705</v>
      </c>
      <c r="J87" s="8">
        <f>Дума_одномандатный[[#This Row],[Число избирателей, внесенных в список избирателей на момент окончания голосования]]</f>
        <v>1705</v>
      </c>
      <c r="K87">
        <v>1500</v>
      </c>
      <c r="L87">
        <v>0</v>
      </c>
      <c r="M87">
        <v>615</v>
      </c>
      <c r="N87">
        <v>61</v>
      </c>
      <c r="O87" s="3">
        <f t="shared" si="35"/>
        <v>39.648093841642229</v>
      </c>
      <c r="P87" s="3">
        <f t="shared" si="36"/>
        <v>3.5777126099706744</v>
      </c>
      <c r="Q87">
        <v>824</v>
      </c>
      <c r="R87">
        <v>61</v>
      </c>
      <c r="S87">
        <v>615</v>
      </c>
      <c r="T87" s="1">
        <f t="shared" si="37"/>
        <v>676</v>
      </c>
      <c r="U87" s="3">
        <f t="shared" si="38"/>
        <v>9.0236686390532537</v>
      </c>
      <c r="V87">
        <v>28</v>
      </c>
      <c r="W87" s="3">
        <f t="shared" si="39"/>
        <v>4.1420118343195265</v>
      </c>
      <c r="X87">
        <v>648</v>
      </c>
      <c r="Y87">
        <v>0</v>
      </c>
      <c r="Z87">
        <v>0</v>
      </c>
      <c r="AA87">
        <v>16</v>
      </c>
      <c r="AB87" s="3">
        <f t="shared" si="40"/>
        <v>2.3668639053254439</v>
      </c>
      <c r="AC87">
        <v>44</v>
      </c>
      <c r="AD87" s="3">
        <f t="shared" si="41"/>
        <v>6.5088757396449708</v>
      </c>
      <c r="AE87">
        <v>57</v>
      </c>
      <c r="AF87" s="3">
        <f t="shared" si="42"/>
        <v>8.4319526627218941</v>
      </c>
      <c r="AG87">
        <v>197</v>
      </c>
      <c r="AH87" s="3">
        <f t="shared" si="43"/>
        <v>29.142011834319526</v>
      </c>
      <c r="AI87">
        <v>42</v>
      </c>
      <c r="AJ87" s="3">
        <f t="shared" si="44"/>
        <v>6.2130177514792901</v>
      </c>
      <c r="AK87">
        <v>61</v>
      </c>
      <c r="AL87" s="3">
        <f t="shared" si="45"/>
        <v>9.0236686390532537</v>
      </c>
      <c r="AM87">
        <v>11</v>
      </c>
      <c r="AN87" s="3">
        <f t="shared" si="46"/>
        <v>1.6272189349112427</v>
      </c>
      <c r="AO87">
        <v>172</v>
      </c>
      <c r="AP87" s="3">
        <f t="shared" si="47"/>
        <v>25.443786982248522</v>
      </c>
      <c r="AQ87">
        <v>28</v>
      </c>
      <c r="AR87" s="3">
        <f t="shared" si="48"/>
        <v>4.1420118343195265</v>
      </c>
      <c r="AS87">
        <v>20</v>
      </c>
      <c r="AT87" s="3">
        <f t="shared" si="49"/>
        <v>2.9585798816568047</v>
      </c>
      <c r="AU87" t="s">
        <v>314</v>
      </c>
      <c r="AV87" s="72">
        <f>Дума_партии[[#This Row],[КОИБ]]</f>
        <v>2017</v>
      </c>
      <c r="AW87" s="1" t="str">
        <f>IF(Дума_партии[[#This Row],[Наблюдателей]]=0,"",Дума_партии[[#This Row],[Наблюдателей]])</f>
        <v/>
      </c>
      <c r="AX87"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23.346260387811611</v>
      </c>
      <c r="AY87" s="10">
        <f>2*(Дума_одномандатный[[#This Row],[Майданов Денис Васильевич]]-(AC$203/100)*Дума_одномандатный[[#This Row],[Число действительных избирательных бюллетеней]])</f>
        <v>33.711999999999989</v>
      </c>
      <c r="AZ87" s="10">
        <f>(Дума_одномандатный[[#This Row],[Вброс]]+Дума_одномандатный[[#This Row],[Перекладывание]])/2</f>
        <v>28.5291301939058</v>
      </c>
    </row>
    <row r="88" spans="1:52" x14ac:dyDescent="0.4">
      <c r="A88" t="s">
        <v>49</v>
      </c>
      <c r="B88" t="s">
        <v>50</v>
      </c>
      <c r="C88" t="s">
        <v>51</v>
      </c>
      <c r="D88" t="s">
        <v>138</v>
      </c>
      <c r="E88" t="s">
        <v>216</v>
      </c>
      <c r="F88" s="1">
        <f t="shared" ca="1" si="34"/>
        <v>3977</v>
      </c>
      <c r="G88" s="8" t="str">
        <f>Дума_партии[[#This Row],[Местоположение]]</f>
        <v>Старый Городок</v>
      </c>
      <c r="H88" s="2" t="str">
        <f>LEFT(Дума_одномандатный[[#This Row],[tik]],4)&amp;"."&amp;IF(ISNUMBER(VALUE(RIGHT(Дума_одномандатный[[#This Row],[tik]]))),RIGHT(Дума_одномандатный[[#This Row],[tik]]),"")</f>
        <v>Один.</v>
      </c>
      <c r="I88">
        <v>1529</v>
      </c>
      <c r="J88" s="8">
        <f>Дума_одномандатный[[#This Row],[Число избирателей, внесенных в список избирателей на момент окончания голосования]]</f>
        <v>1529</v>
      </c>
      <c r="K88">
        <v>1300</v>
      </c>
      <c r="L88">
        <v>0</v>
      </c>
      <c r="M88">
        <v>569</v>
      </c>
      <c r="N88">
        <v>114</v>
      </c>
      <c r="O88" s="3">
        <f t="shared" si="35"/>
        <v>44.669718770438195</v>
      </c>
      <c r="P88" s="3">
        <f t="shared" si="36"/>
        <v>7.4558534990189669</v>
      </c>
      <c r="Q88">
        <v>617</v>
      </c>
      <c r="R88">
        <v>114</v>
      </c>
      <c r="S88">
        <v>569</v>
      </c>
      <c r="T88" s="1">
        <f t="shared" si="37"/>
        <v>683</v>
      </c>
      <c r="U88" s="3">
        <f t="shared" si="38"/>
        <v>16.691068814055637</v>
      </c>
      <c r="V88">
        <v>54</v>
      </c>
      <c r="W88" s="3">
        <f t="shared" si="39"/>
        <v>7.9062957540263543</v>
      </c>
      <c r="X88">
        <v>629</v>
      </c>
      <c r="Y88">
        <v>0</v>
      </c>
      <c r="Z88">
        <v>0</v>
      </c>
      <c r="AA88">
        <v>19</v>
      </c>
      <c r="AB88" s="3">
        <f t="shared" si="40"/>
        <v>2.7818448023426061</v>
      </c>
      <c r="AC88">
        <v>41</v>
      </c>
      <c r="AD88" s="3">
        <f t="shared" si="41"/>
        <v>6.0029282576866763</v>
      </c>
      <c r="AE88">
        <v>63</v>
      </c>
      <c r="AF88" s="3">
        <f t="shared" si="42"/>
        <v>9.2240117130307464</v>
      </c>
      <c r="AG88">
        <v>198</v>
      </c>
      <c r="AH88" s="3">
        <f t="shared" si="43"/>
        <v>28.989751098096633</v>
      </c>
      <c r="AI88">
        <v>54</v>
      </c>
      <c r="AJ88" s="3">
        <f t="shared" si="44"/>
        <v>7.9062957540263543</v>
      </c>
      <c r="AK88">
        <v>48</v>
      </c>
      <c r="AL88" s="3">
        <f t="shared" si="45"/>
        <v>7.0278184480234263</v>
      </c>
      <c r="AM88">
        <v>12</v>
      </c>
      <c r="AN88" s="3">
        <f t="shared" si="46"/>
        <v>1.7569546120058566</v>
      </c>
      <c r="AO88">
        <v>145</v>
      </c>
      <c r="AP88" s="3">
        <f t="shared" si="47"/>
        <v>21.229868228404101</v>
      </c>
      <c r="AQ88">
        <v>30</v>
      </c>
      <c r="AR88" s="3">
        <f t="shared" si="48"/>
        <v>4.3923865300146412</v>
      </c>
      <c r="AS88">
        <v>19</v>
      </c>
      <c r="AT88" s="3">
        <f t="shared" si="49"/>
        <v>2.7818448023426061</v>
      </c>
      <c r="AU88" t="s">
        <v>314</v>
      </c>
      <c r="AV88" s="72">
        <f>Дума_партии[[#This Row],[КОИБ]]</f>
        <v>2017</v>
      </c>
      <c r="AW88" s="1" t="str">
        <f>IF(Дума_партии[[#This Row],[Наблюдателей]]=0,"",Дума_партии[[#This Row],[Наблюдателей]])</f>
        <v/>
      </c>
      <c r="AX88"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32.047091412742361</v>
      </c>
      <c r="AY88" s="10">
        <f>2*(Дума_одномандатный[[#This Row],[Майданов Денис Васильевич]]-(AC$203/100)*Дума_одномандатный[[#This Row],[Число действительных избирательных бюллетеней]])</f>
        <v>46.275999999999954</v>
      </c>
      <c r="AZ88" s="10">
        <f>(Дума_одномандатный[[#This Row],[Вброс]]+Дума_одномандатный[[#This Row],[Перекладывание]])/2</f>
        <v>39.161545706371157</v>
      </c>
    </row>
    <row r="89" spans="1:52" x14ac:dyDescent="0.4">
      <c r="A89" t="s">
        <v>49</v>
      </c>
      <c r="B89" t="s">
        <v>50</v>
      </c>
      <c r="C89" t="s">
        <v>51</v>
      </c>
      <c r="D89" t="s">
        <v>138</v>
      </c>
      <c r="E89" t="s">
        <v>217</v>
      </c>
      <c r="F89" s="1">
        <f t="shared" ca="1" si="34"/>
        <v>3979</v>
      </c>
      <c r="G89" s="8" t="str">
        <f>Дума_партии[[#This Row],[Местоположение]]</f>
        <v>Шарапово</v>
      </c>
      <c r="H89" s="2" t="str">
        <f>LEFT(Дума_одномандатный[[#This Row],[tik]],4)&amp;"."&amp;IF(ISNUMBER(VALUE(RIGHT(Дума_одномандатный[[#This Row],[tik]]))),RIGHT(Дума_одномандатный[[#This Row],[tik]]),"")</f>
        <v>Один.</v>
      </c>
      <c r="I89">
        <v>1800</v>
      </c>
      <c r="J89" s="8">
        <f>Дума_одномандатный[[#This Row],[Число избирателей, внесенных в список избирателей на момент окончания голосования]]</f>
        <v>1800</v>
      </c>
      <c r="K89">
        <v>1500</v>
      </c>
      <c r="L89">
        <v>0</v>
      </c>
      <c r="M89">
        <v>583</v>
      </c>
      <c r="N89">
        <v>54</v>
      </c>
      <c r="O89" s="3">
        <f t="shared" si="35"/>
        <v>35.388888888888886</v>
      </c>
      <c r="P89" s="3">
        <f t="shared" si="36"/>
        <v>3</v>
      </c>
      <c r="Q89">
        <v>863</v>
      </c>
      <c r="R89">
        <v>54</v>
      </c>
      <c r="S89">
        <v>583</v>
      </c>
      <c r="T89" s="1">
        <f t="shared" si="37"/>
        <v>637</v>
      </c>
      <c r="U89" s="3">
        <f t="shared" si="38"/>
        <v>8.4772370486656197</v>
      </c>
      <c r="V89">
        <v>25</v>
      </c>
      <c r="W89" s="3">
        <f t="shared" si="39"/>
        <v>3.9246467817896389</v>
      </c>
      <c r="X89">
        <v>612</v>
      </c>
      <c r="Y89">
        <v>0</v>
      </c>
      <c r="Z89">
        <v>0</v>
      </c>
      <c r="AA89">
        <v>18</v>
      </c>
      <c r="AB89" s="3">
        <f t="shared" si="40"/>
        <v>2.8257456828885399</v>
      </c>
      <c r="AC89">
        <v>31</v>
      </c>
      <c r="AD89" s="3">
        <f t="shared" si="41"/>
        <v>4.8665620094191526</v>
      </c>
      <c r="AE89">
        <v>53</v>
      </c>
      <c r="AF89" s="3">
        <f t="shared" si="42"/>
        <v>8.3202511773940344</v>
      </c>
      <c r="AG89">
        <v>228</v>
      </c>
      <c r="AH89" s="3">
        <f t="shared" si="43"/>
        <v>35.792778649921509</v>
      </c>
      <c r="AI89">
        <v>39</v>
      </c>
      <c r="AJ89" s="3">
        <f t="shared" si="44"/>
        <v>6.1224489795918364</v>
      </c>
      <c r="AK89">
        <v>52</v>
      </c>
      <c r="AL89" s="3">
        <f t="shared" si="45"/>
        <v>8.1632653061224492</v>
      </c>
      <c r="AM89">
        <v>15</v>
      </c>
      <c r="AN89" s="3">
        <f t="shared" si="46"/>
        <v>2.3547880690737832</v>
      </c>
      <c r="AO89">
        <v>141</v>
      </c>
      <c r="AP89" s="3">
        <f t="shared" si="47"/>
        <v>22.135007849293565</v>
      </c>
      <c r="AQ89">
        <v>22</v>
      </c>
      <c r="AR89" s="3">
        <f t="shared" si="48"/>
        <v>3.4536891679748822</v>
      </c>
      <c r="AS89">
        <v>13</v>
      </c>
      <c r="AT89" s="3">
        <f t="shared" si="49"/>
        <v>2.0408163265306123</v>
      </c>
      <c r="AU89" t="s">
        <v>314</v>
      </c>
      <c r="AV89" s="72">
        <f>Дума_партии[[#This Row],[КОИБ]]</f>
        <v>2017</v>
      </c>
      <c r="AW89" s="1" t="str">
        <f>IF(Дума_партии[[#This Row],[Наблюдателей]]=0,"",Дума_партии[[#This Row],[Наблюдателей]])</f>
        <v/>
      </c>
      <c r="AX89"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80.144044321329631</v>
      </c>
      <c r="AY89" s="10">
        <f>2*(Дума_одномандатный[[#This Row],[Майданов Денис Васильевич]]-(AC$203/100)*Дума_одномандатный[[#This Row],[Число действительных избирательных бюллетеней]])</f>
        <v>115.72799999999995</v>
      </c>
      <c r="AZ89" s="10">
        <f>(Дума_одномандатный[[#This Row],[Вброс]]+Дума_одномандатный[[#This Row],[Перекладывание]])/2</f>
        <v>97.936022160664791</v>
      </c>
    </row>
    <row r="90" spans="1:52" x14ac:dyDescent="0.4">
      <c r="A90" t="s">
        <v>49</v>
      </c>
      <c r="B90" t="s">
        <v>50</v>
      </c>
      <c r="C90" t="s">
        <v>51</v>
      </c>
      <c r="D90" t="s">
        <v>138</v>
      </c>
      <c r="E90" t="s">
        <v>218</v>
      </c>
      <c r="F90" s="1">
        <f t="shared" ca="1" si="34"/>
        <v>3981</v>
      </c>
      <c r="G90" s="8" t="str">
        <f>Дума_партии[[#This Row],[Местоположение]]</f>
        <v>Горки-10</v>
      </c>
      <c r="H90" s="2" t="str">
        <f>LEFT(Дума_одномандатный[[#This Row],[tik]],4)&amp;"."&amp;IF(ISNUMBER(VALUE(RIGHT(Дума_одномандатный[[#This Row],[tik]]))),RIGHT(Дума_одномандатный[[#This Row],[tik]]),"")</f>
        <v>Один.</v>
      </c>
      <c r="I90">
        <v>1926</v>
      </c>
      <c r="J90" s="8">
        <f>Дума_одномандатный[[#This Row],[Число избирателей, внесенных в список избирателей на момент окончания голосования]]</f>
        <v>1926</v>
      </c>
      <c r="K90">
        <v>1500</v>
      </c>
      <c r="L90">
        <v>0</v>
      </c>
      <c r="M90">
        <v>636</v>
      </c>
      <c r="N90">
        <v>48</v>
      </c>
      <c r="O90" s="3">
        <f t="shared" si="35"/>
        <v>35.514018691588788</v>
      </c>
      <c r="P90" s="3">
        <f t="shared" si="36"/>
        <v>2.4922118380062304</v>
      </c>
      <c r="Q90">
        <v>816</v>
      </c>
      <c r="R90">
        <v>48</v>
      </c>
      <c r="S90">
        <v>636</v>
      </c>
      <c r="T90" s="1">
        <f t="shared" si="37"/>
        <v>684</v>
      </c>
      <c r="U90" s="3">
        <f t="shared" si="38"/>
        <v>7.0175438596491224</v>
      </c>
      <c r="V90">
        <v>41</v>
      </c>
      <c r="W90" s="3">
        <f t="shared" si="39"/>
        <v>5.9941520467836256</v>
      </c>
      <c r="X90">
        <v>643</v>
      </c>
      <c r="Y90">
        <v>0</v>
      </c>
      <c r="Z90">
        <v>0</v>
      </c>
      <c r="AA90">
        <v>20</v>
      </c>
      <c r="AB90" s="3">
        <f t="shared" si="40"/>
        <v>2.9239766081871346</v>
      </c>
      <c r="AC90">
        <v>31</v>
      </c>
      <c r="AD90" s="3">
        <f t="shared" si="41"/>
        <v>4.5321637426900585</v>
      </c>
      <c r="AE90">
        <v>39</v>
      </c>
      <c r="AF90" s="3">
        <f t="shared" si="42"/>
        <v>5.7017543859649127</v>
      </c>
      <c r="AG90">
        <v>218</v>
      </c>
      <c r="AH90" s="3">
        <f t="shared" si="43"/>
        <v>31.871345029239766</v>
      </c>
      <c r="AI90">
        <v>37</v>
      </c>
      <c r="AJ90" s="3">
        <f t="shared" si="44"/>
        <v>5.4093567251461989</v>
      </c>
      <c r="AK90">
        <v>38</v>
      </c>
      <c r="AL90" s="3">
        <f t="shared" si="45"/>
        <v>5.5555555555555554</v>
      </c>
      <c r="AM90">
        <v>19</v>
      </c>
      <c r="AN90" s="3">
        <f t="shared" si="46"/>
        <v>2.7777777777777777</v>
      </c>
      <c r="AO90">
        <v>208</v>
      </c>
      <c r="AP90" s="3">
        <f t="shared" si="47"/>
        <v>30.4093567251462</v>
      </c>
      <c r="AQ90">
        <v>17</v>
      </c>
      <c r="AR90" s="3">
        <f t="shared" si="48"/>
        <v>2.4853801169590644</v>
      </c>
      <c r="AS90">
        <v>16</v>
      </c>
      <c r="AT90" s="3">
        <f t="shared" si="49"/>
        <v>2.3391812865497075</v>
      </c>
      <c r="AU90" t="s">
        <v>314</v>
      </c>
      <c r="AV90" s="72">
        <f>Дума_партии[[#This Row],[КОИБ]]</f>
        <v>2017</v>
      </c>
      <c r="AW90" s="1" t="str">
        <f>IF(Дума_партии[[#This Row],[Наблюдателей]]=0,"",Дума_партии[[#This Row],[Наблюдателей]])</f>
        <v/>
      </c>
      <c r="AX90"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54.3573407202216</v>
      </c>
      <c r="AY90" s="10">
        <f>2*(Дума_одномандатный[[#This Row],[Майданов Денис Васильевич]]-(AC$203/100)*Дума_одномандатный[[#This Row],[Число действительных избирательных бюллетеней]])</f>
        <v>78.491999999999962</v>
      </c>
      <c r="AZ90" s="10">
        <f>(Дума_одномандатный[[#This Row],[Вброс]]+Дума_одномандатный[[#This Row],[Перекладывание]])/2</f>
        <v>66.424670360110781</v>
      </c>
    </row>
    <row r="91" spans="1:52" x14ac:dyDescent="0.4">
      <c r="A91" t="s">
        <v>49</v>
      </c>
      <c r="B91" t="s">
        <v>50</v>
      </c>
      <c r="C91" t="s">
        <v>51</v>
      </c>
      <c r="D91" t="s">
        <v>138</v>
      </c>
      <c r="E91" t="s">
        <v>219</v>
      </c>
      <c r="F91" s="1">
        <f t="shared" ca="1" si="34"/>
        <v>3983</v>
      </c>
      <c r="G91" s="8" t="str">
        <f>Дума_партии[[#This Row],[Местоположение]]</f>
        <v>Горки-10</v>
      </c>
      <c r="H91" s="2" t="str">
        <f>LEFT(Дума_одномандатный[[#This Row],[tik]],4)&amp;"."&amp;IF(ISNUMBER(VALUE(RIGHT(Дума_одномандатный[[#This Row],[tik]]))),RIGHT(Дума_одномандатный[[#This Row],[tik]]),"")</f>
        <v>Один.</v>
      </c>
      <c r="I91">
        <v>1969</v>
      </c>
      <c r="J91" s="8">
        <f>Дума_одномандатный[[#This Row],[Число избирателей, внесенных в список избирателей на момент окончания голосования]]</f>
        <v>1969</v>
      </c>
      <c r="K91">
        <v>1500</v>
      </c>
      <c r="L91">
        <v>0</v>
      </c>
      <c r="M91">
        <v>665</v>
      </c>
      <c r="N91">
        <v>203</v>
      </c>
      <c r="O91" s="3">
        <f t="shared" si="35"/>
        <v>44.083291010665313</v>
      </c>
      <c r="P91" s="3">
        <f t="shared" si="36"/>
        <v>10.309801929913661</v>
      </c>
      <c r="Q91">
        <v>632</v>
      </c>
      <c r="R91">
        <v>203</v>
      </c>
      <c r="S91">
        <v>665</v>
      </c>
      <c r="T91" s="1">
        <f t="shared" si="37"/>
        <v>868</v>
      </c>
      <c r="U91" s="3">
        <f t="shared" si="38"/>
        <v>23.387096774193548</v>
      </c>
      <c r="V91">
        <v>23</v>
      </c>
      <c r="W91" s="3">
        <f t="shared" si="39"/>
        <v>2.6497695852534564</v>
      </c>
      <c r="X91">
        <v>845</v>
      </c>
      <c r="Y91">
        <v>0</v>
      </c>
      <c r="Z91">
        <v>0</v>
      </c>
      <c r="AA91">
        <v>27</v>
      </c>
      <c r="AB91" s="3">
        <f t="shared" si="40"/>
        <v>3.1105990783410138</v>
      </c>
      <c r="AC91">
        <v>43</v>
      </c>
      <c r="AD91" s="3">
        <f t="shared" si="41"/>
        <v>4.9539170506912447</v>
      </c>
      <c r="AE91">
        <v>53</v>
      </c>
      <c r="AF91" s="3">
        <f t="shared" si="42"/>
        <v>6.1059907834101379</v>
      </c>
      <c r="AG91">
        <v>411</v>
      </c>
      <c r="AH91" s="3">
        <f t="shared" si="43"/>
        <v>47.350230414746541</v>
      </c>
      <c r="AI91">
        <v>36</v>
      </c>
      <c r="AJ91" s="3">
        <f t="shared" si="44"/>
        <v>4.1474654377880187</v>
      </c>
      <c r="AK91">
        <v>37</v>
      </c>
      <c r="AL91" s="3">
        <f t="shared" si="45"/>
        <v>4.2626728110599075</v>
      </c>
      <c r="AM91">
        <v>11</v>
      </c>
      <c r="AN91" s="3">
        <f t="shared" si="46"/>
        <v>1.2672811059907834</v>
      </c>
      <c r="AO91">
        <v>197</v>
      </c>
      <c r="AP91" s="3">
        <f t="shared" si="47"/>
        <v>22.695852534562214</v>
      </c>
      <c r="AQ91">
        <v>16</v>
      </c>
      <c r="AR91" s="3">
        <f t="shared" si="48"/>
        <v>1.8433179723502304</v>
      </c>
      <c r="AS91">
        <v>14</v>
      </c>
      <c r="AT91" s="3">
        <f t="shared" si="49"/>
        <v>1.6129032258064515</v>
      </c>
      <c r="AU91" t="s">
        <v>314</v>
      </c>
      <c r="AV91" s="72">
        <f>Дума_партии[[#This Row],[КОИБ]]</f>
        <v>2017</v>
      </c>
      <c r="AW91" s="1" t="str">
        <f>IF(Дума_партии[[#This Row],[Наблюдателей]]=0,"",Дума_партии[[#This Row],[Наблюдателей]])</f>
        <v/>
      </c>
      <c r="AX91"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243.89196675900274</v>
      </c>
      <c r="AY91" s="10">
        <f>2*(Дума_одномандатный[[#This Row],[Майданов Денис Васильевич]]-(AC$203/100)*Дума_одномандатный[[#This Row],[Число действительных избирательных бюллетеней]])</f>
        <v>352.17999999999995</v>
      </c>
      <c r="AZ91" s="10">
        <f>(Дума_одномандатный[[#This Row],[Вброс]]+Дума_одномандатный[[#This Row],[Перекладывание]])/2</f>
        <v>298.03598337950132</v>
      </c>
    </row>
    <row r="92" spans="1:52" x14ac:dyDescent="0.4">
      <c r="A92" t="s">
        <v>49</v>
      </c>
      <c r="B92" t="s">
        <v>50</v>
      </c>
      <c r="C92" t="s">
        <v>51</v>
      </c>
      <c r="D92" t="s">
        <v>138</v>
      </c>
      <c r="E92" t="s">
        <v>220</v>
      </c>
      <c r="F92" s="1">
        <f t="shared" ca="1" si="34"/>
        <v>3984</v>
      </c>
      <c r="G92" s="8" t="str">
        <f>Дума_партии[[#This Row],[Местоположение]]</f>
        <v>Горки-10</v>
      </c>
      <c r="H92" s="2" t="str">
        <f>LEFT(Дума_одномандатный[[#This Row],[tik]],4)&amp;"."&amp;IF(ISNUMBER(VALUE(RIGHT(Дума_одномандатный[[#This Row],[tik]]))),RIGHT(Дума_одномандатный[[#This Row],[tik]]),"")</f>
        <v>Один.</v>
      </c>
      <c r="I92">
        <v>1911</v>
      </c>
      <c r="J92" s="8">
        <f>Дума_одномандатный[[#This Row],[Число избирателей, внесенных в список избирателей на момент окончания голосования]]</f>
        <v>1911</v>
      </c>
      <c r="K92">
        <v>1500</v>
      </c>
      <c r="L92">
        <v>0</v>
      </c>
      <c r="M92">
        <v>763</v>
      </c>
      <c r="N92">
        <v>177</v>
      </c>
      <c r="O92" s="3">
        <f t="shared" si="35"/>
        <v>49.188906331763476</v>
      </c>
      <c r="P92" s="3">
        <f t="shared" si="36"/>
        <v>9.2621664050235477</v>
      </c>
      <c r="Q92">
        <v>560</v>
      </c>
      <c r="R92">
        <v>177</v>
      </c>
      <c r="S92">
        <v>763</v>
      </c>
      <c r="T92" s="1">
        <f t="shared" si="37"/>
        <v>940</v>
      </c>
      <c r="U92" s="3">
        <f t="shared" si="38"/>
        <v>18.829787234042552</v>
      </c>
      <c r="V92">
        <v>39</v>
      </c>
      <c r="W92" s="3">
        <f t="shared" si="39"/>
        <v>4.1489361702127656</v>
      </c>
      <c r="X92">
        <v>901</v>
      </c>
      <c r="Y92">
        <v>0</v>
      </c>
      <c r="Z92">
        <v>0</v>
      </c>
      <c r="AA92">
        <v>19</v>
      </c>
      <c r="AB92" s="3">
        <f t="shared" si="40"/>
        <v>2.021276595744681</v>
      </c>
      <c r="AC92">
        <v>46</v>
      </c>
      <c r="AD92" s="3">
        <f t="shared" si="41"/>
        <v>4.8936170212765955</v>
      </c>
      <c r="AE92">
        <v>51</v>
      </c>
      <c r="AF92" s="3">
        <f t="shared" si="42"/>
        <v>5.4255319148936172</v>
      </c>
      <c r="AG92">
        <v>468</v>
      </c>
      <c r="AH92" s="3">
        <f t="shared" si="43"/>
        <v>49.787234042553195</v>
      </c>
      <c r="AI92">
        <v>34</v>
      </c>
      <c r="AJ92" s="3">
        <f t="shared" si="44"/>
        <v>3.6170212765957448</v>
      </c>
      <c r="AK92">
        <v>49</v>
      </c>
      <c r="AL92" s="3">
        <f t="shared" si="45"/>
        <v>5.2127659574468082</v>
      </c>
      <c r="AM92">
        <v>14</v>
      </c>
      <c r="AN92" s="3">
        <f t="shared" si="46"/>
        <v>1.4893617021276595</v>
      </c>
      <c r="AO92">
        <v>178</v>
      </c>
      <c r="AP92" s="3">
        <f t="shared" si="47"/>
        <v>18.936170212765958</v>
      </c>
      <c r="AQ92">
        <v>24</v>
      </c>
      <c r="AR92" s="3">
        <f t="shared" si="48"/>
        <v>2.5531914893617023</v>
      </c>
      <c r="AS92">
        <v>18</v>
      </c>
      <c r="AT92" s="3">
        <f t="shared" si="49"/>
        <v>1.9148936170212767</v>
      </c>
      <c r="AU92" t="s">
        <v>314</v>
      </c>
      <c r="AV92" s="72" t="str">
        <f>Дума_партии[[#This Row],[КОИБ]]</f>
        <v>N</v>
      </c>
      <c r="AW92" s="1" t="str">
        <f>IF(Дума_партии[[#This Row],[Наблюдателей]]=0,"",Дума_партии[[#This Row],[Наблюдателей]])</f>
        <v/>
      </c>
      <c r="AX92"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301.2770083102493</v>
      </c>
      <c r="AY92" s="10">
        <f>2*(Дума_одномандатный[[#This Row],[Майданов Денис Васильевич]]-(AC$203/100)*Дума_одномандатный[[#This Row],[Число действительных избирательных бюллетеней]])</f>
        <v>435.04399999999998</v>
      </c>
      <c r="AZ92" s="10">
        <f>(Дума_одномандатный[[#This Row],[Вброс]]+Дума_одномандатный[[#This Row],[Перекладывание]])/2</f>
        <v>368.16050415512461</v>
      </c>
    </row>
    <row r="93" spans="1:52" x14ac:dyDescent="0.4">
      <c r="A93" t="s">
        <v>49</v>
      </c>
      <c r="B93" t="s">
        <v>50</v>
      </c>
      <c r="C93" t="s">
        <v>51</v>
      </c>
      <c r="D93" t="s">
        <v>138</v>
      </c>
      <c r="E93" t="s">
        <v>221</v>
      </c>
      <c r="F93" s="1">
        <f t="shared" ca="1" si="34"/>
        <v>3985</v>
      </c>
      <c r="G93" s="8" t="str">
        <f>Дума_партии[[#This Row],[Местоположение]]</f>
        <v>Успенское</v>
      </c>
      <c r="H93" s="2" t="str">
        <f>LEFT(Дума_одномандатный[[#This Row],[tik]],4)&amp;"."&amp;IF(ISNUMBER(VALUE(RIGHT(Дума_одномандатный[[#This Row],[tik]]))),RIGHT(Дума_одномандатный[[#This Row],[tik]]),"")</f>
        <v>Один.</v>
      </c>
      <c r="I93">
        <v>1647</v>
      </c>
      <c r="J93" s="8">
        <f>Дума_одномандатный[[#This Row],[Число избирателей, внесенных в список избирателей на момент окончания голосования]]</f>
        <v>1647</v>
      </c>
      <c r="K93">
        <v>1300</v>
      </c>
      <c r="L93">
        <v>0</v>
      </c>
      <c r="M93">
        <v>622</v>
      </c>
      <c r="N93">
        <v>219</v>
      </c>
      <c r="O93" s="3">
        <f t="shared" si="35"/>
        <v>51.062537947783852</v>
      </c>
      <c r="P93" s="3">
        <f t="shared" si="36"/>
        <v>13.296903460837887</v>
      </c>
      <c r="Q93">
        <v>459</v>
      </c>
      <c r="R93">
        <v>219</v>
      </c>
      <c r="S93">
        <v>622</v>
      </c>
      <c r="T93" s="1">
        <f t="shared" si="37"/>
        <v>841</v>
      </c>
      <c r="U93" s="3">
        <f t="shared" si="38"/>
        <v>26.040428061831154</v>
      </c>
      <c r="V93">
        <v>40</v>
      </c>
      <c r="W93" s="3">
        <f t="shared" si="39"/>
        <v>4.756242568370987</v>
      </c>
      <c r="X93">
        <v>801</v>
      </c>
      <c r="Y93">
        <v>0</v>
      </c>
      <c r="Z93">
        <v>0</v>
      </c>
      <c r="AA93">
        <v>16</v>
      </c>
      <c r="AB93" s="3">
        <f t="shared" si="40"/>
        <v>1.9024970273483948</v>
      </c>
      <c r="AC93">
        <v>29</v>
      </c>
      <c r="AD93" s="3">
        <f t="shared" si="41"/>
        <v>3.4482758620689653</v>
      </c>
      <c r="AE93">
        <v>60</v>
      </c>
      <c r="AF93" s="3">
        <f t="shared" si="42"/>
        <v>7.1343638525564801</v>
      </c>
      <c r="AG93">
        <v>375</v>
      </c>
      <c r="AH93" s="3">
        <f t="shared" si="43"/>
        <v>44.589774078478001</v>
      </c>
      <c r="AI93">
        <v>38</v>
      </c>
      <c r="AJ93" s="3">
        <f t="shared" si="44"/>
        <v>4.5184304399524375</v>
      </c>
      <c r="AK93">
        <v>42</v>
      </c>
      <c r="AL93" s="3">
        <f t="shared" si="45"/>
        <v>4.9940546967895365</v>
      </c>
      <c r="AM93">
        <v>19</v>
      </c>
      <c r="AN93" s="3">
        <f t="shared" si="46"/>
        <v>2.2592152199762188</v>
      </c>
      <c r="AO93">
        <v>186</v>
      </c>
      <c r="AP93" s="3">
        <f t="shared" si="47"/>
        <v>22.116527942925089</v>
      </c>
      <c r="AQ93">
        <v>17</v>
      </c>
      <c r="AR93" s="3">
        <f t="shared" si="48"/>
        <v>2.0214030915576693</v>
      </c>
      <c r="AS93">
        <v>19</v>
      </c>
      <c r="AT93" s="3">
        <f t="shared" si="49"/>
        <v>2.2592152199762188</v>
      </c>
      <c r="AU93" t="s">
        <v>314</v>
      </c>
      <c r="AV93" s="72">
        <f>Дума_партии[[#This Row],[КОИБ]]</f>
        <v>2017</v>
      </c>
      <c r="AW93" s="1" t="str">
        <f>IF(Дума_партии[[#This Row],[Наблюдателей]]=0,"",Дума_партии[[#This Row],[Наблюдателей]])</f>
        <v/>
      </c>
      <c r="AX93"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210.97229916897504</v>
      </c>
      <c r="AY93" s="10">
        <f>2*(Дума_одномандатный[[#This Row],[Майданов Денис Васильевич]]-(AC$203/100)*Дума_одномандатный[[#This Row],[Число действительных избирательных бюллетеней]])</f>
        <v>304.64399999999995</v>
      </c>
      <c r="AZ93" s="10">
        <f>(Дума_одномандатный[[#This Row],[Вброс]]+Дума_одномандатный[[#This Row],[Перекладывание]])/2</f>
        <v>257.80814958448752</v>
      </c>
    </row>
    <row r="94" spans="1:52" x14ac:dyDescent="0.4">
      <c r="A94" t="s">
        <v>49</v>
      </c>
      <c r="B94" t="s">
        <v>50</v>
      </c>
      <c r="C94" t="s">
        <v>51</v>
      </c>
      <c r="D94" t="s">
        <v>138</v>
      </c>
      <c r="E94" t="s">
        <v>222</v>
      </c>
      <c r="F94" s="1">
        <f t="shared" ca="1" si="34"/>
        <v>3986</v>
      </c>
      <c r="G94" s="8" t="str">
        <f>Дума_партии[[#This Row],[Местоположение]]</f>
        <v>Сосны</v>
      </c>
      <c r="H94" s="2" t="str">
        <f>LEFT(Дума_одномандатный[[#This Row],[tik]],4)&amp;"."&amp;IF(ISNUMBER(VALUE(RIGHT(Дума_одномандатный[[#This Row],[tik]]))),RIGHT(Дума_одномандатный[[#This Row],[tik]]),"")</f>
        <v>Один.</v>
      </c>
      <c r="I94">
        <v>1316</v>
      </c>
      <c r="J94" s="8">
        <f>Дума_одномандатный[[#This Row],[Число избирателей, внесенных в список избирателей на момент окончания голосования]]</f>
        <v>1316</v>
      </c>
      <c r="K94">
        <v>1000</v>
      </c>
      <c r="L94">
        <v>0</v>
      </c>
      <c r="M94">
        <v>445</v>
      </c>
      <c r="N94">
        <v>277</v>
      </c>
      <c r="O94" s="3">
        <f t="shared" si="35"/>
        <v>54.863221884498479</v>
      </c>
      <c r="P94" s="3">
        <f t="shared" si="36"/>
        <v>21.048632218844986</v>
      </c>
      <c r="Q94">
        <v>278</v>
      </c>
      <c r="R94">
        <v>277</v>
      </c>
      <c r="S94">
        <v>445</v>
      </c>
      <c r="T94" s="1">
        <f t="shared" si="37"/>
        <v>722</v>
      </c>
      <c r="U94" s="3">
        <f t="shared" si="38"/>
        <v>38.365650969529085</v>
      </c>
      <c r="V94">
        <v>14</v>
      </c>
      <c r="W94" s="3">
        <f t="shared" si="39"/>
        <v>1.9390581717451523</v>
      </c>
      <c r="X94">
        <v>708</v>
      </c>
      <c r="Y94">
        <v>0</v>
      </c>
      <c r="Z94">
        <v>0</v>
      </c>
      <c r="AA94">
        <v>15</v>
      </c>
      <c r="AB94" s="3">
        <f t="shared" si="40"/>
        <v>2.0775623268698062</v>
      </c>
      <c r="AC94">
        <v>31</v>
      </c>
      <c r="AD94" s="3">
        <f t="shared" si="41"/>
        <v>4.2936288088642662</v>
      </c>
      <c r="AE94">
        <v>46</v>
      </c>
      <c r="AF94" s="3">
        <f t="shared" si="42"/>
        <v>6.3711911357340716</v>
      </c>
      <c r="AG94">
        <v>410</v>
      </c>
      <c r="AH94" s="3">
        <f t="shared" si="43"/>
        <v>56.78670360110803</v>
      </c>
      <c r="AI94">
        <v>25</v>
      </c>
      <c r="AJ94" s="3">
        <f t="shared" si="44"/>
        <v>3.4626038781163433</v>
      </c>
      <c r="AK94">
        <v>31</v>
      </c>
      <c r="AL94" s="3">
        <f t="shared" si="45"/>
        <v>4.2936288088642662</v>
      </c>
      <c r="AM94">
        <v>5</v>
      </c>
      <c r="AN94" s="3">
        <f t="shared" si="46"/>
        <v>0.69252077562326875</v>
      </c>
      <c r="AO94">
        <v>124</v>
      </c>
      <c r="AP94" s="3">
        <f t="shared" si="47"/>
        <v>17.174515235457065</v>
      </c>
      <c r="AQ94">
        <v>12</v>
      </c>
      <c r="AR94" s="3">
        <f t="shared" si="48"/>
        <v>1.6620498614958448</v>
      </c>
      <c r="AS94">
        <v>9</v>
      </c>
      <c r="AT94" s="3">
        <f t="shared" si="49"/>
        <v>1.2465373961218837</v>
      </c>
      <c r="AU94" t="s">
        <v>314</v>
      </c>
      <c r="AV94" s="72">
        <f>Дума_партии[[#This Row],[КОИБ]]</f>
        <v>2017</v>
      </c>
      <c r="AW94" s="1" t="str">
        <f>IF(Дума_партии[[#This Row],[Наблюдателей]]=0,"",Дума_партии[[#This Row],[Наблюдателей]])</f>
        <v/>
      </c>
      <c r="AX94"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295.25761772853184</v>
      </c>
      <c r="AY94" s="10">
        <f>2*(Дума_одномандатный[[#This Row],[Майданов Денис Васильевич]]-(AC$203/100)*Дума_одномандатный[[#This Row],[Число действительных избирательных бюллетеней]])</f>
        <v>426.35199999999998</v>
      </c>
      <c r="AZ94" s="10">
        <f>(Дума_одномандатный[[#This Row],[Вброс]]+Дума_одномандатный[[#This Row],[Перекладывание]])/2</f>
        <v>360.80480886426591</v>
      </c>
    </row>
    <row r="95" spans="1:52" x14ac:dyDescent="0.4">
      <c r="A95" t="s">
        <v>49</v>
      </c>
      <c r="B95" t="s">
        <v>50</v>
      </c>
      <c r="C95" t="s">
        <v>51</v>
      </c>
      <c r="D95" t="s">
        <v>138</v>
      </c>
      <c r="E95" t="s">
        <v>223</v>
      </c>
      <c r="F95" s="1">
        <f t="shared" ca="1" si="34"/>
        <v>3987</v>
      </c>
      <c r="G95" s="8" t="str">
        <f>Дума_партии[[#This Row],[Местоположение]]</f>
        <v>Часцы</v>
      </c>
      <c r="H95" s="2" t="str">
        <f>LEFT(Дума_одномандатный[[#This Row],[tik]],4)&amp;"."&amp;IF(ISNUMBER(VALUE(RIGHT(Дума_одномандатный[[#This Row],[tik]]))),RIGHT(Дума_одномандатный[[#This Row],[tik]]),"")</f>
        <v>Один.</v>
      </c>
      <c r="I95">
        <v>2401</v>
      </c>
      <c r="J95" s="8">
        <f>Дума_одномандатный[[#This Row],[Число избирателей, внесенных в список избирателей на момент окончания голосования]]</f>
        <v>2401</v>
      </c>
      <c r="K95">
        <v>1900</v>
      </c>
      <c r="L95">
        <v>0</v>
      </c>
      <c r="M95">
        <v>1458</v>
      </c>
      <c r="N95">
        <v>78</v>
      </c>
      <c r="O95" s="3">
        <f t="shared" si="35"/>
        <v>63.973344439816742</v>
      </c>
      <c r="P95" s="3">
        <f t="shared" si="36"/>
        <v>3.2486463973344439</v>
      </c>
      <c r="Q95">
        <v>364</v>
      </c>
      <c r="R95">
        <v>78</v>
      </c>
      <c r="S95">
        <v>1458</v>
      </c>
      <c r="T95" s="1">
        <f t="shared" si="37"/>
        <v>1536</v>
      </c>
      <c r="U95" s="3">
        <f t="shared" si="38"/>
        <v>5.078125</v>
      </c>
      <c r="V95">
        <v>47</v>
      </c>
      <c r="W95" s="3">
        <f t="shared" si="39"/>
        <v>3.0598958333333335</v>
      </c>
      <c r="X95">
        <v>1489</v>
      </c>
      <c r="Y95">
        <v>0</v>
      </c>
      <c r="Z95">
        <v>0</v>
      </c>
      <c r="AA95">
        <v>23</v>
      </c>
      <c r="AB95" s="3">
        <f t="shared" si="40"/>
        <v>1.4973958333333333</v>
      </c>
      <c r="AC95">
        <v>59</v>
      </c>
      <c r="AD95" s="3">
        <f t="shared" si="41"/>
        <v>3.8411458333333335</v>
      </c>
      <c r="AE95">
        <v>42</v>
      </c>
      <c r="AF95" s="3">
        <f t="shared" si="42"/>
        <v>2.734375</v>
      </c>
      <c r="AG95">
        <v>1016</v>
      </c>
      <c r="AH95" s="3">
        <f t="shared" si="43"/>
        <v>66.145833333333329</v>
      </c>
      <c r="AI95">
        <v>51</v>
      </c>
      <c r="AJ95" s="3">
        <f t="shared" si="44"/>
        <v>3.3203125</v>
      </c>
      <c r="AK95">
        <v>63</v>
      </c>
      <c r="AL95" s="3">
        <f t="shared" si="45"/>
        <v>4.1015625</v>
      </c>
      <c r="AM95">
        <v>11</v>
      </c>
      <c r="AN95" s="3">
        <f t="shared" si="46"/>
        <v>0.71614583333333337</v>
      </c>
      <c r="AO95">
        <v>171</v>
      </c>
      <c r="AP95" s="3">
        <f t="shared" si="47"/>
        <v>11.1328125</v>
      </c>
      <c r="AQ95">
        <v>40</v>
      </c>
      <c r="AR95" s="3">
        <f t="shared" si="48"/>
        <v>2.6041666666666665</v>
      </c>
      <c r="AS95">
        <v>13</v>
      </c>
      <c r="AT95" s="3">
        <f t="shared" si="49"/>
        <v>0.84635416666666663</v>
      </c>
      <c r="AU95" t="s">
        <v>314</v>
      </c>
      <c r="AV95" s="72" t="str">
        <f>Дума_партии[[#This Row],[КОИБ]]</f>
        <v>N</v>
      </c>
      <c r="AW95" s="1" t="str">
        <f>IF(Дума_партии[[#This Row],[Наблюдателей]]=0,"",Дума_партии[[#This Row],[Наблюдателей]])</f>
        <v/>
      </c>
      <c r="AX95"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833.8753462603878</v>
      </c>
      <c r="AY95" s="10">
        <f>2*(Дума_одномандатный[[#This Row],[Майданов Денис Васильевич]]-(AC$203/100)*Дума_одномандатный[[#This Row],[Число действительных избирательных бюллетеней]])</f>
        <v>1204.116</v>
      </c>
      <c r="AZ95" s="10">
        <f>(Дума_одномандатный[[#This Row],[Вброс]]+Дума_одномандатный[[#This Row],[Перекладывание]])/2</f>
        <v>1018.9956731301938</v>
      </c>
    </row>
    <row r="96" spans="1:52" x14ac:dyDescent="0.4">
      <c r="A96" t="s">
        <v>49</v>
      </c>
      <c r="B96" t="s">
        <v>50</v>
      </c>
      <c r="C96" t="s">
        <v>51</v>
      </c>
      <c r="D96" t="s">
        <v>138</v>
      </c>
      <c r="E96" t="s">
        <v>224</v>
      </c>
      <c r="F96" s="1">
        <f t="shared" ca="1" si="34"/>
        <v>3989</v>
      </c>
      <c r="G96" s="8" t="str">
        <f>Дума_партии[[#This Row],[Местоположение]]</f>
        <v>Гарь-Покровское</v>
      </c>
      <c r="H96" s="2" t="str">
        <f>LEFT(Дума_одномандатный[[#This Row],[tik]],4)&amp;"."&amp;IF(ISNUMBER(VALUE(RIGHT(Дума_одномандатный[[#This Row],[tik]]))),RIGHT(Дума_одномандатный[[#This Row],[tik]]),"")</f>
        <v>Один.</v>
      </c>
      <c r="I96">
        <v>2141</v>
      </c>
      <c r="J96" s="8">
        <f>Дума_одномандатный[[#This Row],[Число избирателей, внесенных в список избирателей на момент окончания голосования]]</f>
        <v>2141</v>
      </c>
      <c r="K96">
        <v>1700</v>
      </c>
      <c r="L96">
        <v>0</v>
      </c>
      <c r="M96">
        <v>1383</v>
      </c>
      <c r="N96">
        <v>32</v>
      </c>
      <c r="O96" s="3">
        <f t="shared" si="35"/>
        <v>66.090611863615138</v>
      </c>
      <c r="P96" s="3">
        <f t="shared" si="36"/>
        <v>1.4946286781877627</v>
      </c>
      <c r="Q96">
        <v>285</v>
      </c>
      <c r="R96">
        <v>32</v>
      </c>
      <c r="S96">
        <v>1381</v>
      </c>
      <c r="T96" s="1">
        <f t="shared" si="37"/>
        <v>1413</v>
      </c>
      <c r="U96" s="3">
        <f t="shared" si="38"/>
        <v>2.264685067232838</v>
      </c>
      <c r="V96">
        <v>32</v>
      </c>
      <c r="W96" s="3">
        <f t="shared" si="39"/>
        <v>2.264685067232838</v>
      </c>
      <c r="X96">
        <v>1381</v>
      </c>
      <c r="Y96">
        <v>0</v>
      </c>
      <c r="Z96">
        <v>0</v>
      </c>
      <c r="AA96">
        <v>45</v>
      </c>
      <c r="AB96" s="3">
        <f t="shared" si="40"/>
        <v>3.1847133757961785</v>
      </c>
      <c r="AC96">
        <v>65</v>
      </c>
      <c r="AD96" s="3">
        <f t="shared" si="41"/>
        <v>4.6001415428167016</v>
      </c>
      <c r="AE96">
        <v>62</v>
      </c>
      <c r="AF96" s="3">
        <f t="shared" si="42"/>
        <v>4.3878273177636231</v>
      </c>
      <c r="AG96">
        <v>756</v>
      </c>
      <c r="AH96" s="3">
        <f t="shared" si="43"/>
        <v>53.503184713375795</v>
      </c>
      <c r="AI96">
        <v>69</v>
      </c>
      <c r="AJ96" s="3">
        <f t="shared" si="44"/>
        <v>4.8832271762208066</v>
      </c>
      <c r="AK96">
        <v>120</v>
      </c>
      <c r="AL96" s="3">
        <f t="shared" si="45"/>
        <v>8.4925690021231421</v>
      </c>
      <c r="AM96">
        <v>30</v>
      </c>
      <c r="AN96" s="3">
        <f t="shared" si="46"/>
        <v>2.1231422505307855</v>
      </c>
      <c r="AO96">
        <v>156</v>
      </c>
      <c r="AP96" s="3">
        <f t="shared" si="47"/>
        <v>11.040339702760084</v>
      </c>
      <c r="AQ96">
        <v>56</v>
      </c>
      <c r="AR96" s="3">
        <f t="shared" si="48"/>
        <v>3.9631988676574665</v>
      </c>
      <c r="AS96">
        <v>22</v>
      </c>
      <c r="AT96" s="3">
        <f t="shared" si="49"/>
        <v>1.556970983722576</v>
      </c>
      <c r="AU96" t="s">
        <v>314</v>
      </c>
      <c r="AV96" s="72" t="str">
        <f>Дума_партии[[#This Row],[КОИБ]]</f>
        <v>N</v>
      </c>
      <c r="AW96" s="1" t="str">
        <f>IF(Дума_партии[[#This Row],[Наблюдателей]]=0,"",Дума_партии[[#This Row],[Наблюдателей]])</f>
        <v/>
      </c>
      <c r="AX96"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515.34903047091416</v>
      </c>
      <c r="AY96" s="10">
        <f>2*(Дума_одномандатный[[#This Row],[Майданов Денис Васильевич]]-(AC$203/100)*Дума_одномандатный[[#This Row],[Число действительных избирательных бюллетеней]])</f>
        <v>744.16399999999999</v>
      </c>
      <c r="AZ96" s="10">
        <f>(Дума_одномандатный[[#This Row],[Вброс]]+Дума_одномандатный[[#This Row],[Перекладывание]])/2</f>
        <v>629.75651523545707</v>
      </c>
    </row>
    <row r="97" spans="1:52" x14ac:dyDescent="0.4">
      <c r="A97" t="s">
        <v>49</v>
      </c>
      <c r="B97" t="s">
        <v>50</v>
      </c>
      <c r="C97" t="s">
        <v>51</v>
      </c>
      <c r="D97" t="s">
        <v>138</v>
      </c>
      <c r="E97" t="s">
        <v>225</v>
      </c>
      <c r="F97" s="1">
        <f t="shared" ca="1" si="34"/>
        <v>3991</v>
      </c>
      <c r="G97" s="8" t="str">
        <f>Дума_партии[[#This Row],[Местоположение]]</f>
        <v>Покровский Городок</v>
      </c>
      <c r="H97" s="2" t="str">
        <f>LEFT(Дума_одномандатный[[#This Row],[tik]],4)&amp;"."&amp;IF(ISNUMBER(VALUE(RIGHT(Дума_одномандатный[[#This Row],[tik]]))),RIGHT(Дума_одномандатный[[#This Row],[tik]]),"")</f>
        <v>Один.</v>
      </c>
      <c r="I97">
        <v>1230</v>
      </c>
      <c r="J97" s="8">
        <f>Дума_одномандатный[[#This Row],[Число избирателей, внесенных в список избирателей на момент окончания голосования]]</f>
        <v>1230</v>
      </c>
      <c r="K97">
        <v>900</v>
      </c>
      <c r="L97">
        <v>0</v>
      </c>
      <c r="M97">
        <v>728</v>
      </c>
      <c r="N97">
        <v>71</v>
      </c>
      <c r="O97" s="3">
        <f t="shared" si="35"/>
        <v>64.959349593495929</v>
      </c>
      <c r="P97" s="3">
        <f t="shared" si="36"/>
        <v>5.7723577235772359</v>
      </c>
      <c r="Q97">
        <v>101</v>
      </c>
      <c r="R97">
        <v>71</v>
      </c>
      <c r="S97">
        <v>657</v>
      </c>
      <c r="T97" s="1">
        <f t="shared" si="37"/>
        <v>728</v>
      </c>
      <c r="U97" s="3">
        <f t="shared" si="38"/>
        <v>9.7527472527472536</v>
      </c>
      <c r="V97">
        <v>40</v>
      </c>
      <c r="W97" s="3">
        <f t="shared" si="39"/>
        <v>5.4945054945054945</v>
      </c>
      <c r="X97">
        <v>688</v>
      </c>
      <c r="Y97">
        <v>0</v>
      </c>
      <c r="Z97">
        <v>0</v>
      </c>
      <c r="AA97">
        <v>47</v>
      </c>
      <c r="AB97" s="3">
        <f t="shared" si="40"/>
        <v>6.4560439560439562</v>
      </c>
      <c r="AC97">
        <v>29</v>
      </c>
      <c r="AD97" s="3">
        <f t="shared" si="41"/>
        <v>3.9835164835164836</v>
      </c>
      <c r="AE97">
        <v>46</v>
      </c>
      <c r="AF97" s="3">
        <f t="shared" si="42"/>
        <v>6.3186813186813184</v>
      </c>
      <c r="AG97">
        <v>268</v>
      </c>
      <c r="AH97" s="3">
        <f t="shared" si="43"/>
        <v>36.81318681318681</v>
      </c>
      <c r="AI97">
        <v>52</v>
      </c>
      <c r="AJ97" s="3">
        <f t="shared" si="44"/>
        <v>7.1428571428571432</v>
      </c>
      <c r="AK97">
        <v>62</v>
      </c>
      <c r="AL97" s="3">
        <f t="shared" si="45"/>
        <v>8.5164835164835164</v>
      </c>
      <c r="AM97">
        <v>4</v>
      </c>
      <c r="AN97" s="3">
        <f t="shared" si="46"/>
        <v>0.5494505494505495</v>
      </c>
      <c r="AO97">
        <v>137</v>
      </c>
      <c r="AP97" s="3">
        <f t="shared" si="47"/>
        <v>18.818681318681318</v>
      </c>
      <c r="AQ97">
        <v>43</v>
      </c>
      <c r="AR97" s="3">
        <f t="shared" si="48"/>
        <v>5.9065934065934069</v>
      </c>
      <c r="AS97">
        <v>0</v>
      </c>
      <c r="AT97" s="3">
        <f t="shared" si="49"/>
        <v>0</v>
      </c>
      <c r="AU97" t="s">
        <v>314</v>
      </c>
      <c r="AV97" s="72" t="str">
        <f>Дума_партии[[#This Row],[КОИБ]]</f>
        <v>N</v>
      </c>
      <c r="AW97" s="1" t="str">
        <f>IF(Дума_партии[[#This Row],[Наблюдателей]]=0,"",Дума_партии[[#This Row],[Наблюдателей]])</f>
        <v/>
      </c>
      <c r="AX97"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106.28254847645428</v>
      </c>
      <c r="AY97" s="10">
        <f>2*(Дума_одномандатный[[#This Row],[Майданов Денис Васильевич]]-(AC$203/100)*Дума_одномандатный[[#This Row],[Число действительных избирательных бюллетеней]])</f>
        <v>153.47199999999998</v>
      </c>
      <c r="AZ97" s="10">
        <f>(Дума_одномандатный[[#This Row],[Вброс]]+Дума_одномандатный[[#This Row],[Перекладывание]])/2</f>
        <v>129.87727423822713</v>
      </c>
    </row>
    <row r="98" spans="1:52" x14ac:dyDescent="0.4">
      <c r="A98" t="s">
        <v>49</v>
      </c>
      <c r="B98" t="s">
        <v>50</v>
      </c>
      <c r="C98" t="s">
        <v>51</v>
      </c>
      <c r="D98" t="s">
        <v>138</v>
      </c>
      <c r="E98" t="s">
        <v>226</v>
      </c>
      <c r="F98" s="1">
        <f t="shared" ca="1" si="34"/>
        <v>3992</v>
      </c>
      <c r="G98" s="8" t="str">
        <f>Дума_партии[[#This Row],[Местоположение]]</f>
        <v>Часцы</v>
      </c>
      <c r="H98" s="2" t="str">
        <f>LEFT(Дума_одномандатный[[#This Row],[tik]],4)&amp;"."&amp;IF(ISNUMBER(VALUE(RIGHT(Дума_одномандатный[[#This Row],[tik]]))),RIGHT(Дума_одномандатный[[#This Row],[tik]]),"")</f>
        <v>Один.</v>
      </c>
      <c r="I98">
        <v>915</v>
      </c>
      <c r="J98" s="8">
        <f>Дума_одномандатный[[#This Row],[Число избирателей, внесенных в список избирателей на момент окончания голосования]]</f>
        <v>915</v>
      </c>
      <c r="K98">
        <v>800</v>
      </c>
      <c r="L98">
        <v>0</v>
      </c>
      <c r="M98">
        <v>456</v>
      </c>
      <c r="N98">
        <v>31</v>
      </c>
      <c r="O98" s="3">
        <f t="shared" si="35"/>
        <v>53.224043715846996</v>
      </c>
      <c r="P98" s="3">
        <f t="shared" si="36"/>
        <v>3.3879781420765029</v>
      </c>
      <c r="Q98">
        <v>313</v>
      </c>
      <c r="R98">
        <v>31</v>
      </c>
      <c r="S98">
        <v>456</v>
      </c>
      <c r="T98" s="1">
        <f t="shared" si="37"/>
        <v>487</v>
      </c>
      <c r="U98" s="3">
        <f t="shared" si="38"/>
        <v>6.3655030800821359</v>
      </c>
      <c r="V98">
        <v>5</v>
      </c>
      <c r="W98" s="3">
        <f t="shared" si="39"/>
        <v>1.0266940451745379</v>
      </c>
      <c r="X98">
        <v>482</v>
      </c>
      <c r="Y98">
        <v>0</v>
      </c>
      <c r="Z98">
        <v>0</v>
      </c>
      <c r="AA98">
        <v>7</v>
      </c>
      <c r="AB98" s="3">
        <f t="shared" si="40"/>
        <v>1.4373716632443532</v>
      </c>
      <c r="AC98">
        <v>19</v>
      </c>
      <c r="AD98" s="3">
        <f t="shared" si="41"/>
        <v>3.9014373716632442</v>
      </c>
      <c r="AE98">
        <v>0</v>
      </c>
      <c r="AF98" s="3">
        <f t="shared" si="42"/>
        <v>0</v>
      </c>
      <c r="AG98">
        <v>331</v>
      </c>
      <c r="AH98" s="3">
        <f t="shared" si="43"/>
        <v>67.967145790554412</v>
      </c>
      <c r="AI98">
        <v>8</v>
      </c>
      <c r="AJ98" s="3">
        <f t="shared" si="44"/>
        <v>1.6427104722792607</v>
      </c>
      <c r="AK98">
        <v>13</v>
      </c>
      <c r="AL98" s="3">
        <f t="shared" si="45"/>
        <v>2.6694045174537986</v>
      </c>
      <c r="AM98">
        <v>8</v>
      </c>
      <c r="AN98" s="3">
        <f t="shared" si="46"/>
        <v>1.6427104722792607</v>
      </c>
      <c r="AO98">
        <v>96</v>
      </c>
      <c r="AP98" s="3">
        <f t="shared" si="47"/>
        <v>19.71252566735113</v>
      </c>
      <c r="AQ98">
        <v>0</v>
      </c>
      <c r="AR98" s="3">
        <f t="shared" si="48"/>
        <v>0</v>
      </c>
      <c r="AS98">
        <v>0</v>
      </c>
      <c r="AT98" s="3">
        <f t="shared" si="49"/>
        <v>0</v>
      </c>
      <c r="AU98" t="s">
        <v>314</v>
      </c>
      <c r="AV98" s="72" t="str">
        <f>Дума_партии[[#This Row],[КОИБ]]</f>
        <v>N</v>
      </c>
      <c r="AW98" s="1" t="str">
        <f>IF(Дума_партии[[#This Row],[Наблюдателей]]=0,"",Дума_партии[[#This Row],[Наблюдателей]])</f>
        <v/>
      </c>
      <c r="AX98"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272.85872576177286</v>
      </c>
      <c r="AY98" s="10">
        <f>2*(Дума_одномандатный[[#This Row],[Майданов Денис Васильевич]]-(AC$203/100)*Дума_одномандатный[[#This Row],[Число действительных избирательных бюллетеней]])</f>
        <v>394.00799999999998</v>
      </c>
      <c r="AZ98" s="10">
        <f>(Дума_одномандатный[[#This Row],[Вброс]]+Дума_одномандатный[[#This Row],[Перекладывание]])/2</f>
        <v>333.43336288088642</v>
      </c>
    </row>
    <row r="99" spans="1:52" x14ac:dyDescent="0.4">
      <c r="A99" t="s">
        <v>49</v>
      </c>
      <c r="B99" t="s">
        <v>50</v>
      </c>
      <c r="C99" t="s">
        <v>51</v>
      </c>
      <c r="D99" t="s">
        <v>227</v>
      </c>
      <c r="E99" t="s">
        <v>228</v>
      </c>
      <c r="F99" s="1">
        <f t="shared" ref="F99:F131" ca="1" si="50">SUMPRODUCT(MID(0&amp;E99, LARGE(INDEX(ISNUMBER(--MID(E99, ROW(INDIRECT("1:"&amp;LEN(E99))), 1)) * ROW(INDIRECT("1:"&amp;LEN(E99))), 0), ROW(INDIRECT("1:"&amp;LEN(E99))))+1, 1) * 10^ROW(INDIRECT("1:"&amp;LEN(E99)))/10)</f>
        <v>1947</v>
      </c>
      <c r="G99" s="8" t="str">
        <f>Дума_партии[[#This Row],[Местоположение]]</f>
        <v>Одинцово</v>
      </c>
      <c r="H99" s="2" t="str">
        <f>LEFT(Дума_одномандатный[[#This Row],[tik]],4)&amp;"."&amp;IF(ISNUMBER(VALUE(RIGHT(Дума_одномандатный[[#This Row],[tik]]))),RIGHT(Дума_одномандатный[[#This Row],[tik]]),"")</f>
        <v>Один.2</v>
      </c>
      <c r="I99">
        <v>2387</v>
      </c>
      <c r="J99" s="8">
        <f>Дума_одномандатный[[#This Row],[Число избирателей, внесенных в список избирателей на момент окончания голосования]]</f>
        <v>2387</v>
      </c>
      <c r="K99">
        <v>2000</v>
      </c>
      <c r="L99">
        <v>0</v>
      </c>
      <c r="M99">
        <v>704</v>
      </c>
      <c r="N99">
        <v>429</v>
      </c>
      <c r="O99" s="3">
        <f t="shared" ref="O99:O131" si="51">100*(M99+N99)/I99</f>
        <v>47.465437788018434</v>
      </c>
      <c r="P99" s="3">
        <f t="shared" ref="P99:P131" si="52">100*N99/I99</f>
        <v>17.972350230414747</v>
      </c>
      <c r="Q99">
        <v>867</v>
      </c>
      <c r="R99">
        <v>429</v>
      </c>
      <c r="S99">
        <v>704</v>
      </c>
      <c r="T99" s="1">
        <f t="shared" ref="T99:T131" si="53">R99+S99</f>
        <v>1133</v>
      </c>
      <c r="U99" s="3">
        <f t="shared" ref="U99:U131" si="54">100*R99/T99</f>
        <v>37.864077669902912</v>
      </c>
      <c r="V99">
        <v>184</v>
      </c>
      <c r="W99" s="3">
        <f t="shared" ref="W99:W131" si="55">100*V99/T99</f>
        <v>16.240070609002647</v>
      </c>
      <c r="X99">
        <v>949</v>
      </c>
      <c r="Y99">
        <v>0</v>
      </c>
      <c r="Z99">
        <v>0</v>
      </c>
      <c r="AA99">
        <v>23</v>
      </c>
      <c r="AB99" s="3">
        <f t="shared" ref="AB99:AB131" si="56">100*AA99/$T99</f>
        <v>2.0300088261253308</v>
      </c>
      <c r="AC99">
        <v>55</v>
      </c>
      <c r="AD99" s="3">
        <f t="shared" ref="AD99:AD131" si="57">100*AC99/$T99</f>
        <v>4.8543689320388346</v>
      </c>
      <c r="AE99">
        <v>58</v>
      </c>
      <c r="AF99" s="3">
        <f t="shared" ref="AF99:AF131" si="58">100*AE99/$T99</f>
        <v>5.1191526919682255</v>
      </c>
      <c r="AG99">
        <v>425</v>
      </c>
      <c r="AH99" s="3">
        <f t="shared" ref="AH99:AH131" si="59">100*AG99/$T99</f>
        <v>37.511032656663723</v>
      </c>
      <c r="AI99">
        <v>48</v>
      </c>
      <c r="AJ99" s="3">
        <f t="shared" ref="AJ99:AJ131" si="60">100*AI99/$T99</f>
        <v>4.2365401588702563</v>
      </c>
      <c r="AK99">
        <v>49</v>
      </c>
      <c r="AL99" s="3">
        <f t="shared" ref="AL99:AL131" si="61">100*AK99/$T99</f>
        <v>4.3248014121800527</v>
      </c>
      <c r="AM99">
        <v>17</v>
      </c>
      <c r="AN99" s="3">
        <f t="shared" ref="AN99:AN131" si="62">100*AM99/$T99</f>
        <v>1.5004413062665489</v>
      </c>
      <c r="AO99">
        <v>229</v>
      </c>
      <c r="AP99" s="3">
        <f t="shared" ref="AP99:AP131" si="63">100*AO99/$T99</f>
        <v>20.211827007943512</v>
      </c>
      <c r="AQ99">
        <v>29</v>
      </c>
      <c r="AR99" s="3">
        <f t="shared" ref="AR99:AR131" si="64">100*AQ99/$T99</f>
        <v>2.5595763459841128</v>
      </c>
      <c r="AS99">
        <v>16</v>
      </c>
      <c r="AT99" s="3">
        <f t="shared" ref="AT99:AT131" si="65">100*AS99/$T99</f>
        <v>1.4121800529567521</v>
      </c>
      <c r="AU99" t="s">
        <v>315</v>
      </c>
      <c r="AV99" s="72">
        <f>Дума_партии[[#This Row],[КОИБ]]</f>
        <v>2017</v>
      </c>
      <c r="AW99" s="1" t="str">
        <f>IF(Дума_партии[[#This Row],[Наблюдателей]]=0,"",Дума_партии[[#This Row],[Наблюдателей]])</f>
        <v/>
      </c>
      <c r="AX99"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223.23822714681438</v>
      </c>
      <c r="AY99" s="10">
        <f>2*(Дума_одномандатный[[#This Row],[Майданов Денис Васильевич]]-(AC$203/100)*Дума_одномандатный[[#This Row],[Число действительных избирательных бюллетеней]])</f>
        <v>322.35599999999999</v>
      </c>
      <c r="AZ99" s="10">
        <f>(Дума_одномандатный[[#This Row],[Вброс]]+Дума_одномандатный[[#This Row],[Перекладывание]])/2</f>
        <v>272.79711357340716</v>
      </c>
    </row>
    <row r="100" spans="1:52" x14ac:dyDescent="0.4">
      <c r="A100" t="s">
        <v>49</v>
      </c>
      <c r="B100" t="s">
        <v>50</v>
      </c>
      <c r="C100" t="s">
        <v>51</v>
      </c>
      <c r="D100" t="s">
        <v>227</v>
      </c>
      <c r="E100" t="s">
        <v>229</v>
      </c>
      <c r="F100" s="1">
        <f t="shared" ca="1" si="50"/>
        <v>1948</v>
      </c>
      <c r="G100" s="8" t="str">
        <f>Дума_партии[[#This Row],[Местоположение]]</f>
        <v>Одинцово</v>
      </c>
      <c r="H100" s="2" t="str">
        <f>LEFT(Дума_одномандатный[[#This Row],[tik]],4)&amp;"."&amp;IF(ISNUMBER(VALUE(RIGHT(Дума_одномандатный[[#This Row],[tik]]))),RIGHT(Дума_одномандатный[[#This Row],[tik]]),"")</f>
        <v>Один.2</v>
      </c>
      <c r="I100">
        <v>1535</v>
      </c>
      <c r="J100" s="8">
        <f>Дума_одномандатный[[#This Row],[Число избирателей, внесенных в список избирателей на момент окончания голосования]]</f>
        <v>1535</v>
      </c>
      <c r="K100">
        <v>1300</v>
      </c>
      <c r="L100">
        <v>0</v>
      </c>
      <c r="M100">
        <v>445</v>
      </c>
      <c r="N100">
        <v>368</v>
      </c>
      <c r="O100" s="3">
        <f t="shared" si="51"/>
        <v>52.964169381107489</v>
      </c>
      <c r="P100" s="3">
        <f t="shared" si="52"/>
        <v>23.973941368078176</v>
      </c>
      <c r="Q100">
        <v>487</v>
      </c>
      <c r="R100">
        <v>368</v>
      </c>
      <c r="S100">
        <v>445</v>
      </c>
      <c r="T100" s="1">
        <f t="shared" si="53"/>
        <v>813</v>
      </c>
      <c r="U100" s="3">
        <f t="shared" si="54"/>
        <v>45.264452644526443</v>
      </c>
      <c r="V100">
        <v>26</v>
      </c>
      <c r="W100" s="3">
        <f t="shared" si="55"/>
        <v>3.1980319803198034</v>
      </c>
      <c r="X100">
        <v>787</v>
      </c>
      <c r="Y100">
        <v>0</v>
      </c>
      <c r="Z100">
        <v>0</v>
      </c>
      <c r="AA100">
        <v>13</v>
      </c>
      <c r="AB100" s="3">
        <f t="shared" si="56"/>
        <v>1.5990159901599017</v>
      </c>
      <c r="AC100">
        <v>18</v>
      </c>
      <c r="AD100" s="3">
        <f t="shared" si="57"/>
        <v>2.2140221402214024</v>
      </c>
      <c r="AE100">
        <v>35</v>
      </c>
      <c r="AF100" s="3">
        <f t="shared" si="58"/>
        <v>4.3050430504305046</v>
      </c>
      <c r="AG100">
        <v>476</v>
      </c>
      <c r="AH100" s="3">
        <f t="shared" si="59"/>
        <v>58.548585485854858</v>
      </c>
      <c r="AI100">
        <v>23</v>
      </c>
      <c r="AJ100" s="3">
        <f t="shared" si="60"/>
        <v>2.8290282902829027</v>
      </c>
      <c r="AK100">
        <v>25</v>
      </c>
      <c r="AL100" s="3">
        <f t="shared" si="61"/>
        <v>3.0750307503075032</v>
      </c>
      <c r="AM100">
        <v>8</v>
      </c>
      <c r="AN100" s="3">
        <f t="shared" si="62"/>
        <v>0.98400984009840098</v>
      </c>
      <c r="AO100">
        <v>152</v>
      </c>
      <c r="AP100" s="3">
        <f t="shared" si="63"/>
        <v>18.696186961869618</v>
      </c>
      <c r="AQ100">
        <v>22</v>
      </c>
      <c r="AR100" s="3">
        <f t="shared" si="64"/>
        <v>2.7060270602706029</v>
      </c>
      <c r="AS100">
        <v>15</v>
      </c>
      <c r="AT100" s="3">
        <f t="shared" si="65"/>
        <v>1.8450184501845019</v>
      </c>
      <c r="AU100" t="s">
        <v>315</v>
      </c>
      <c r="AV100" s="72">
        <f>Дума_партии[[#This Row],[КОИБ]]</f>
        <v>2017</v>
      </c>
      <c r="AW100" s="1" t="str">
        <f>IF(Дума_партии[[#This Row],[Наблюдателей]]=0,"",Дума_партии[[#This Row],[Наблюдателей]])</f>
        <v/>
      </c>
      <c r="AX100"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356.25207756232686</v>
      </c>
      <c r="AY100" s="10">
        <f>2*(Дума_одномандатный[[#This Row],[Майданов Денис Васильевич]]-(AC$203/100)*Дума_одномандатный[[#This Row],[Число действительных избирательных бюллетеней]])</f>
        <v>514.42799999999988</v>
      </c>
      <c r="AZ100" s="10">
        <f>(Дума_одномандатный[[#This Row],[Вброс]]+Дума_одномандатный[[#This Row],[Перекладывание]])/2</f>
        <v>435.34003878116334</v>
      </c>
    </row>
    <row r="101" spans="1:52" x14ac:dyDescent="0.4">
      <c r="A101" t="s">
        <v>49</v>
      </c>
      <c r="B101" t="s">
        <v>50</v>
      </c>
      <c r="C101" t="s">
        <v>51</v>
      </c>
      <c r="D101" t="s">
        <v>227</v>
      </c>
      <c r="E101" t="s">
        <v>230</v>
      </c>
      <c r="F101" s="1">
        <f t="shared" ca="1" si="50"/>
        <v>1950</v>
      </c>
      <c r="G101" s="8" t="str">
        <f>Дума_партии[[#This Row],[Местоположение]]</f>
        <v>Одинцово</v>
      </c>
      <c r="H101" s="2" t="str">
        <f>LEFT(Дума_одномандатный[[#This Row],[tik]],4)&amp;"."&amp;IF(ISNUMBER(VALUE(RIGHT(Дума_одномандатный[[#This Row],[tik]]))),RIGHT(Дума_одномандатный[[#This Row],[tik]]),"")</f>
        <v>Один.2</v>
      </c>
      <c r="I101">
        <v>2645</v>
      </c>
      <c r="J101" s="8">
        <f>Дума_одномандатный[[#This Row],[Число избирателей, внесенных в список избирателей на момент окончания голосования]]</f>
        <v>2645</v>
      </c>
      <c r="K101">
        <v>2000</v>
      </c>
      <c r="L101">
        <v>0</v>
      </c>
      <c r="M101">
        <v>814</v>
      </c>
      <c r="N101">
        <v>13</v>
      </c>
      <c r="O101" s="3">
        <f t="shared" si="51"/>
        <v>31.266540642722116</v>
      </c>
      <c r="P101" s="3">
        <f t="shared" si="52"/>
        <v>0.49149338374291113</v>
      </c>
      <c r="Q101">
        <v>1173</v>
      </c>
      <c r="R101">
        <v>13</v>
      </c>
      <c r="S101">
        <v>814</v>
      </c>
      <c r="T101" s="1">
        <f t="shared" si="53"/>
        <v>827</v>
      </c>
      <c r="U101" s="3">
        <f t="shared" si="54"/>
        <v>1.5719467956469166</v>
      </c>
      <c r="V101">
        <v>69</v>
      </c>
      <c r="W101" s="3">
        <f t="shared" si="55"/>
        <v>8.3434099153567107</v>
      </c>
      <c r="X101">
        <v>758</v>
      </c>
      <c r="Y101">
        <v>0</v>
      </c>
      <c r="Z101">
        <v>0</v>
      </c>
      <c r="AA101">
        <v>25</v>
      </c>
      <c r="AB101" s="3">
        <f t="shared" si="56"/>
        <v>3.022974607013301</v>
      </c>
      <c r="AC101">
        <v>65</v>
      </c>
      <c r="AD101" s="3">
        <f t="shared" si="57"/>
        <v>7.8597339782345825</v>
      </c>
      <c r="AE101">
        <v>90</v>
      </c>
      <c r="AF101" s="3">
        <f t="shared" si="58"/>
        <v>10.882708585247883</v>
      </c>
      <c r="AG101">
        <v>193</v>
      </c>
      <c r="AH101" s="3">
        <f t="shared" si="59"/>
        <v>23.337363966142686</v>
      </c>
      <c r="AI101">
        <v>47</v>
      </c>
      <c r="AJ101" s="3">
        <f t="shared" si="60"/>
        <v>5.6831922611850061</v>
      </c>
      <c r="AK101">
        <v>62</v>
      </c>
      <c r="AL101" s="3">
        <f t="shared" si="61"/>
        <v>7.4969770253929866</v>
      </c>
      <c r="AM101">
        <v>17</v>
      </c>
      <c r="AN101" s="3">
        <f t="shared" si="62"/>
        <v>2.0556227327690446</v>
      </c>
      <c r="AO101">
        <v>212</v>
      </c>
      <c r="AP101" s="3">
        <f t="shared" si="63"/>
        <v>25.634824667472792</v>
      </c>
      <c r="AQ101">
        <v>34</v>
      </c>
      <c r="AR101" s="3">
        <f t="shared" si="64"/>
        <v>4.1112454655380892</v>
      </c>
      <c r="AS101">
        <v>13</v>
      </c>
      <c r="AT101" s="3">
        <f t="shared" si="65"/>
        <v>1.5719467956469166</v>
      </c>
      <c r="AU101" t="s">
        <v>315</v>
      </c>
      <c r="AV101" s="72">
        <f>Дума_партии[[#This Row],[КОИБ]]</f>
        <v>2017</v>
      </c>
      <c r="AW101" s="1">
        <f>IF(Дума_партии[[#This Row],[Наблюдателей]]=0,"",Дума_партии[[#This Row],[Наблюдателей]])</f>
        <v>1</v>
      </c>
      <c r="AX101"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-24.548476454293649</v>
      </c>
      <c r="AY101" s="10">
        <f>2*(Дума_одномандатный[[#This Row],[Майданов Денис Васильевич]]-(AC$203/100)*Дума_одномандатный[[#This Row],[Число действительных избирательных бюллетеней]])</f>
        <v>-35.448000000000036</v>
      </c>
      <c r="AZ101" s="10">
        <f>(Дума_одномандатный[[#This Row],[Вброс]]+Дума_одномандатный[[#This Row],[Перекладывание]])/2</f>
        <v>-29.998238227146842</v>
      </c>
    </row>
    <row r="102" spans="1:52" x14ac:dyDescent="0.4">
      <c r="A102" t="s">
        <v>49</v>
      </c>
      <c r="B102" t="s">
        <v>50</v>
      </c>
      <c r="C102" t="s">
        <v>51</v>
      </c>
      <c r="D102" t="s">
        <v>227</v>
      </c>
      <c r="E102" t="s">
        <v>231</v>
      </c>
      <c r="F102" s="1">
        <f t="shared" ca="1" si="50"/>
        <v>1953</v>
      </c>
      <c r="G102" s="8" t="str">
        <f>Дума_партии[[#This Row],[Местоположение]]</f>
        <v>Одинцово</v>
      </c>
      <c r="H102" s="2" t="str">
        <f>LEFT(Дума_одномандатный[[#This Row],[tik]],4)&amp;"."&amp;IF(ISNUMBER(VALUE(RIGHT(Дума_одномандатный[[#This Row],[tik]]))),RIGHT(Дума_одномандатный[[#This Row],[tik]]),"")</f>
        <v>Один.2</v>
      </c>
      <c r="I102">
        <v>2043</v>
      </c>
      <c r="J102" s="8">
        <f>Дума_одномандатный[[#This Row],[Число избирателей, внесенных в список избирателей на момент окончания голосования]]</f>
        <v>2043</v>
      </c>
      <c r="K102">
        <v>1500</v>
      </c>
      <c r="L102">
        <v>0</v>
      </c>
      <c r="M102">
        <v>724</v>
      </c>
      <c r="N102">
        <v>15</v>
      </c>
      <c r="O102" s="3">
        <f t="shared" si="51"/>
        <v>36.172295643661279</v>
      </c>
      <c r="P102" s="3">
        <f t="shared" si="52"/>
        <v>0.73421439060205584</v>
      </c>
      <c r="Q102">
        <v>761</v>
      </c>
      <c r="R102">
        <v>15</v>
      </c>
      <c r="S102">
        <v>724</v>
      </c>
      <c r="T102" s="1">
        <f t="shared" si="53"/>
        <v>739</v>
      </c>
      <c r="U102" s="3">
        <f t="shared" si="54"/>
        <v>2.029769959404601</v>
      </c>
      <c r="V102">
        <v>44</v>
      </c>
      <c r="W102" s="3">
        <f t="shared" si="55"/>
        <v>5.953991880920162</v>
      </c>
      <c r="X102">
        <v>695</v>
      </c>
      <c r="Y102">
        <v>0</v>
      </c>
      <c r="Z102">
        <v>0</v>
      </c>
      <c r="AA102">
        <v>22</v>
      </c>
      <c r="AB102" s="3">
        <f t="shared" si="56"/>
        <v>2.976995940460081</v>
      </c>
      <c r="AC102">
        <v>46</v>
      </c>
      <c r="AD102" s="3">
        <f t="shared" si="57"/>
        <v>6.2246278755074425</v>
      </c>
      <c r="AE102">
        <v>53</v>
      </c>
      <c r="AF102" s="3">
        <f t="shared" si="58"/>
        <v>7.1718538565629233</v>
      </c>
      <c r="AG102">
        <v>202</v>
      </c>
      <c r="AH102" s="3">
        <f t="shared" si="59"/>
        <v>27.334235453315291</v>
      </c>
      <c r="AI102">
        <v>38</v>
      </c>
      <c r="AJ102" s="3">
        <f t="shared" si="60"/>
        <v>5.1420838971583223</v>
      </c>
      <c r="AK102">
        <v>44</v>
      </c>
      <c r="AL102" s="3">
        <f t="shared" si="61"/>
        <v>5.953991880920162</v>
      </c>
      <c r="AM102">
        <v>16</v>
      </c>
      <c r="AN102" s="3">
        <f t="shared" si="62"/>
        <v>2.1650879566982408</v>
      </c>
      <c r="AO102">
        <v>221</v>
      </c>
      <c r="AP102" s="3">
        <f t="shared" si="63"/>
        <v>29.905277401894452</v>
      </c>
      <c r="AQ102">
        <v>36</v>
      </c>
      <c r="AR102" s="3">
        <f t="shared" si="64"/>
        <v>4.8714479025710418</v>
      </c>
      <c r="AS102">
        <v>17</v>
      </c>
      <c r="AT102" s="3">
        <f t="shared" si="65"/>
        <v>2.3004059539918811</v>
      </c>
      <c r="AU102" t="s">
        <v>315</v>
      </c>
      <c r="AV102" s="72" t="str">
        <f>Дума_партии[[#This Row],[КОИБ]]</f>
        <v>N</v>
      </c>
      <c r="AW102" s="1" t="str">
        <f>IF(Дума_партии[[#This Row],[Наблюдателей]]=0,"",Дума_партии[[#This Row],[Наблюдателей]])</f>
        <v/>
      </c>
      <c r="AX102"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12.174515235457051</v>
      </c>
      <c r="AY102" s="10">
        <f>2*(Дума_одномандатный[[#This Row],[Майданов Денис Васильевич]]-(AC$203/100)*Дума_одномандатный[[#This Row],[Число действительных избирательных бюллетеней]])</f>
        <v>17.579999999999984</v>
      </c>
      <c r="AZ102" s="10">
        <f>(Дума_одномандатный[[#This Row],[Вброс]]+Дума_одномандатный[[#This Row],[Перекладывание]])/2</f>
        <v>14.877257617728517</v>
      </c>
    </row>
    <row r="103" spans="1:52" x14ac:dyDescent="0.4">
      <c r="A103" t="s">
        <v>49</v>
      </c>
      <c r="B103" t="s">
        <v>50</v>
      </c>
      <c r="C103" t="s">
        <v>51</v>
      </c>
      <c r="D103" t="s">
        <v>227</v>
      </c>
      <c r="E103" t="s">
        <v>232</v>
      </c>
      <c r="F103" s="1">
        <f t="shared" ca="1" si="50"/>
        <v>1954</v>
      </c>
      <c r="G103" s="8" t="str">
        <f>Дума_партии[[#This Row],[Местоположение]]</f>
        <v>Одинцово</v>
      </c>
      <c r="H103" s="2" t="str">
        <f>LEFT(Дума_одномандатный[[#This Row],[tik]],4)&amp;"."&amp;IF(ISNUMBER(VALUE(RIGHT(Дума_одномандатный[[#This Row],[tik]]))),RIGHT(Дума_одномандатный[[#This Row],[tik]]),"")</f>
        <v>Один.2</v>
      </c>
      <c r="I103">
        <v>2142</v>
      </c>
      <c r="J103" s="8">
        <f>Дума_одномандатный[[#This Row],[Число избирателей, внесенных в список избирателей на момент окончания голосования]]</f>
        <v>2142</v>
      </c>
      <c r="K103">
        <v>1200</v>
      </c>
      <c r="L103">
        <v>0</v>
      </c>
      <c r="M103">
        <v>843</v>
      </c>
      <c r="N103">
        <v>341</v>
      </c>
      <c r="O103" s="3">
        <f t="shared" si="51"/>
        <v>55.275443510737631</v>
      </c>
      <c r="P103" s="3">
        <f t="shared" si="52"/>
        <v>15.919701213818861</v>
      </c>
      <c r="Q103">
        <v>16</v>
      </c>
      <c r="R103">
        <v>341</v>
      </c>
      <c r="S103">
        <v>843</v>
      </c>
      <c r="T103" s="1">
        <f t="shared" si="53"/>
        <v>1184</v>
      </c>
      <c r="U103" s="3">
        <f t="shared" si="54"/>
        <v>28.800675675675677</v>
      </c>
      <c r="V103">
        <v>190</v>
      </c>
      <c r="W103" s="3">
        <f t="shared" si="55"/>
        <v>16.047297297297298</v>
      </c>
      <c r="X103">
        <v>994</v>
      </c>
      <c r="Y103">
        <v>0</v>
      </c>
      <c r="Z103">
        <v>0</v>
      </c>
      <c r="AA103">
        <v>22</v>
      </c>
      <c r="AB103" s="3">
        <f t="shared" si="56"/>
        <v>1.8581081081081081</v>
      </c>
      <c r="AC103">
        <v>67</v>
      </c>
      <c r="AD103" s="3">
        <f t="shared" si="57"/>
        <v>5.6587837837837842</v>
      </c>
      <c r="AE103">
        <v>66</v>
      </c>
      <c r="AF103" s="3">
        <f t="shared" si="58"/>
        <v>5.5743243243243246</v>
      </c>
      <c r="AG103">
        <v>415</v>
      </c>
      <c r="AH103" s="3">
        <f t="shared" si="59"/>
        <v>35.050675675675677</v>
      </c>
      <c r="AI103">
        <v>72</v>
      </c>
      <c r="AJ103" s="3">
        <f t="shared" si="60"/>
        <v>6.0810810810810807</v>
      </c>
      <c r="AK103">
        <v>60</v>
      </c>
      <c r="AL103" s="3">
        <f t="shared" si="61"/>
        <v>5.0675675675675675</v>
      </c>
      <c r="AM103">
        <v>17</v>
      </c>
      <c r="AN103" s="3">
        <f t="shared" si="62"/>
        <v>1.4358108108108107</v>
      </c>
      <c r="AO103">
        <v>223</v>
      </c>
      <c r="AP103" s="3">
        <f t="shared" si="63"/>
        <v>18.83445945945946</v>
      </c>
      <c r="AQ103">
        <v>35</v>
      </c>
      <c r="AR103" s="3">
        <f t="shared" si="64"/>
        <v>2.9560810810810811</v>
      </c>
      <c r="AS103">
        <v>17</v>
      </c>
      <c r="AT103" s="3">
        <f t="shared" si="65"/>
        <v>1.4358108108108107</v>
      </c>
      <c r="AU103" t="s">
        <v>315</v>
      </c>
      <c r="AV103" s="72" t="str">
        <f>Дума_партии[[#This Row],[КОИБ]]</f>
        <v>N</v>
      </c>
      <c r="AW103" s="1">
        <f>IF(Дума_партии[[#This Row],[Наблюдателей]]=0,"",Дума_партии[[#This Row],[Наблюдателей]])</f>
        <v>1</v>
      </c>
      <c r="AX103"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192.06094182825481</v>
      </c>
      <c r="AY103" s="10">
        <f>2*(Дума_одномандатный[[#This Row],[Майданов Денис Васильевич]]-(AC$203/100)*Дума_одномандатный[[#This Row],[Число действительных избирательных бюллетеней]])</f>
        <v>277.3359999999999</v>
      </c>
      <c r="AZ103" s="10">
        <f>(Дума_одномандатный[[#This Row],[Вброс]]+Дума_одномандатный[[#This Row],[Перекладывание]])/2</f>
        <v>234.69847091412737</v>
      </c>
    </row>
    <row r="104" spans="1:52" x14ac:dyDescent="0.4">
      <c r="A104" t="s">
        <v>49</v>
      </c>
      <c r="B104" t="s">
        <v>50</v>
      </c>
      <c r="C104" t="s">
        <v>51</v>
      </c>
      <c r="D104" t="s">
        <v>227</v>
      </c>
      <c r="E104" t="s">
        <v>233</v>
      </c>
      <c r="F104" s="1">
        <f t="shared" ca="1" si="50"/>
        <v>1955</v>
      </c>
      <c r="G104" s="8" t="str">
        <f>Дума_партии[[#This Row],[Местоположение]]</f>
        <v>Одинцово</v>
      </c>
      <c r="H104" s="2" t="str">
        <f>LEFT(Дума_одномандатный[[#This Row],[tik]],4)&amp;"."&amp;IF(ISNUMBER(VALUE(RIGHT(Дума_одномандатный[[#This Row],[tik]]))),RIGHT(Дума_одномандатный[[#This Row],[tik]]),"")</f>
        <v>Один.2</v>
      </c>
      <c r="I104">
        <v>988</v>
      </c>
      <c r="J104" s="8">
        <f>Дума_одномандатный[[#This Row],[Число избирателей, внесенных в список избирателей на момент окончания голосования]]</f>
        <v>988</v>
      </c>
      <c r="K104">
        <v>900</v>
      </c>
      <c r="L104">
        <v>0</v>
      </c>
      <c r="M104">
        <v>448</v>
      </c>
      <c r="N104">
        <v>115</v>
      </c>
      <c r="O104" s="3">
        <f t="shared" si="51"/>
        <v>56.983805668016196</v>
      </c>
      <c r="P104" s="3">
        <f t="shared" si="52"/>
        <v>11.639676113360323</v>
      </c>
      <c r="Q104">
        <v>337</v>
      </c>
      <c r="R104">
        <v>115</v>
      </c>
      <c r="S104">
        <v>446</v>
      </c>
      <c r="T104" s="1">
        <f t="shared" si="53"/>
        <v>561</v>
      </c>
      <c r="U104" s="3">
        <f t="shared" si="54"/>
        <v>20.499108734402853</v>
      </c>
      <c r="V104">
        <v>43</v>
      </c>
      <c r="W104" s="3">
        <f t="shared" si="55"/>
        <v>7.6648841354723709</v>
      </c>
      <c r="X104">
        <v>518</v>
      </c>
      <c r="Y104">
        <v>0</v>
      </c>
      <c r="Z104">
        <v>0</v>
      </c>
      <c r="AA104">
        <v>15</v>
      </c>
      <c r="AB104" s="3">
        <f t="shared" si="56"/>
        <v>2.6737967914438503</v>
      </c>
      <c r="AC104">
        <v>25</v>
      </c>
      <c r="AD104" s="3">
        <f t="shared" si="57"/>
        <v>4.4563279857397502</v>
      </c>
      <c r="AE104">
        <v>36</v>
      </c>
      <c r="AF104" s="3">
        <f t="shared" si="58"/>
        <v>6.4171122994652405</v>
      </c>
      <c r="AG104">
        <v>257</v>
      </c>
      <c r="AH104" s="3">
        <f t="shared" si="59"/>
        <v>45.811051693404636</v>
      </c>
      <c r="AI104">
        <v>33</v>
      </c>
      <c r="AJ104" s="3">
        <f t="shared" si="60"/>
        <v>5.882352941176471</v>
      </c>
      <c r="AK104">
        <v>34</v>
      </c>
      <c r="AL104" s="3">
        <f t="shared" si="61"/>
        <v>6.0606060606060606</v>
      </c>
      <c r="AM104">
        <v>9</v>
      </c>
      <c r="AN104" s="3">
        <f t="shared" si="62"/>
        <v>1.6042780748663101</v>
      </c>
      <c r="AO104">
        <v>77</v>
      </c>
      <c r="AP104" s="3">
        <f t="shared" si="63"/>
        <v>13.725490196078431</v>
      </c>
      <c r="AQ104">
        <v>21</v>
      </c>
      <c r="AR104" s="3">
        <f t="shared" si="64"/>
        <v>3.7433155080213902</v>
      </c>
      <c r="AS104">
        <v>11</v>
      </c>
      <c r="AT104" s="3">
        <f t="shared" si="65"/>
        <v>1.9607843137254901</v>
      </c>
      <c r="AU104" t="s">
        <v>315</v>
      </c>
      <c r="AV104" s="72" t="str">
        <f>Дума_партии[[#This Row],[КОИБ]]</f>
        <v>N</v>
      </c>
      <c r="AW104" s="1" t="str">
        <f>IF(Дума_партии[[#This Row],[Наблюдателей]]=0,"",Дума_партии[[#This Row],[Наблюдателей]])</f>
        <v/>
      </c>
      <c r="AX104"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156.50415512465372</v>
      </c>
      <c r="AY104" s="10">
        <f>2*(Дума_одномандатный[[#This Row],[Майданов Денис Васильевич]]-(AC$203/100)*Дума_одномандатный[[#This Row],[Число действительных избирательных бюллетеней]])</f>
        <v>225.99199999999996</v>
      </c>
      <c r="AZ104" s="10">
        <f>(Дума_одномандатный[[#This Row],[Вброс]]+Дума_одномандатный[[#This Row],[Перекладывание]])/2</f>
        <v>191.24807756232684</v>
      </c>
    </row>
    <row r="105" spans="1:52" x14ac:dyDescent="0.4">
      <c r="A105" t="s">
        <v>49</v>
      </c>
      <c r="B105" t="s">
        <v>50</v>
      </c>
      <c r="C105" t="s">
        <v>51</v>
      </c>
      <c r="D105" t="s">
        <v>227</v>
      </c>
      <c r="E105" t="s">
        <v>234</v>
      </c>
      <c r="F105" s="1">
        <f t="shared" ca="1" si="50"/>
        <v>1956</v>
      </c>
      <c r="G105" s="8" t="str">
        <f>Дума_партии[[#This Row],[Местоположение]]</f>
        <v>Одинцово рай. больн.</v>
      </c>
      <c r="H105" s="2" t="str">
        <f>LEFT(Дума_одномандатный[[#This Row],[tik]],4)&amp;"."&amp;IF(ISNUMBER(VALUE(RIGHT(Дума_одномандатный[[#This Row],[tik]]))),RIGHT(Дума_одномандатный[[#This Row],[tik]]),"")</f>
        <v>Один.2</v>
      </c>
      <c r="I105">
        <v>176</v>
      </c>
      <c r="J105" s="8">
        <f>Дума_одномандатный[[#This Row],[Число избирателей, внесенных в список избирателей на момент окончания голосования]]</f>
        <v>176</v>
      </c>
      <c r="K105">
        <v>176</v>
      </c>
      <c r="L105">
        <v>0</v>
      </c>
      <c r="M105">
        <v>51</v>
      </c>
      <c r="N105">
        <v>125</v>
      </c>
      <c r="O105" s="3">
        <f t="shared" si="51"/>
        <v>100</v>
      </c>
      <c r="P105" s="3">
        <f t="shared" si="52"/>
        <v>71.022727272727266</v>
      </c>
      <c r="Q105">
        <v>0</v>
      </c>
      <c r="R105">
        <v>125</v>
      </c>
      <c r="S105">
        <v>51</v>
      </c>
      <c r="T105" s="1">
        <f t="shared" si="53"/>
        <v>176</v>
      </c>
      <c r="U105" s="3">
        <f t="shared" si="54"/>
        <v>71.022727272727266</v>
      </c>
      <c r="V105">
        <v>0</v>
      </c>
      <c r="W105" s="3">
        <f t="shared" si="55"/>
        <v>0</v>
      </c>
      <c r="X105">
        <v>176</v>
      </c>
      <c r="Y105">
        <v>0</v>
      </c>
      <c r="Z105">
        <v>0</v>
      </c>
      <c r="AA105">
        <v>1</v>
      </c>
      <c r="AB105" s="3">
        <f t="shared" si="56"/>
        <v>0.56818181818181823</v>
      </c>
      <c r="AC105">
        <v>1</v>
      </c>
      <c r="AD105" s="3">
        <f t="shared" si="57"/>
        <v>0.56818181818181823</v>
      </c>
      <c r="AE105">
        <v>3</v>
      </c>
      <c r="AF105" s="3">
        <f t="shared" si="58"/>
        <v>1.7045454545454546</v>
      </c>
      <c r="AG105">
        <v>154</v>
      </c>
      <c r="AH105" s="3">
        <f t="shared" si="59"/>
        <v>87.5</v>
      </c>
      <c r="AI105">
        <v>1</v>
      </c>
      <c r="AJ105" s="3">
        <f t="shared" si="60"/>
        <v>0.56818181818181823</v>
      </c>
      <c r="AK105">
        <v>1</v>
      </c>
      <c r="AL105" s="3">
        <f t="shared" si="61"/>
        <v>0.56818181818181823</v>
      </c>
      <c r="AM105">
        <v>1</v>
      </c>
      <c r="AN105" s="3">
        <f t="shared" si="62"/>
        <v>0.56818181818181823</v>
      </c>
      <c r="AO105">
        <v>13</v>
      </c>
      <c r="AP105" s="3">
        <f t="shared" si="63"/>
        <v>7.3863636363636367</v>
      </c>
      <c r="AQ105">
        <v>1</v>
      </c>
      <c r="AR105" s="3">
        <f t="shared" si="64"/>
        <v>0.56818181818181823</v>
      </c>
      <c r="AS105">
        <v>0</v>
      </c>
      <c r="AT105" s="3">
        <f t="shared" si="65"/>
        <v>0</v>
      </c>
      <c r="AU105" t="s">
        <v>315</v>
      </c>
      <c r="AV105" s="72" t="str">
        <f>Дума_партии[[#This Row],[КОИБ]]</f>
        <v>N</v>
      </c>
      <c r="AW105" s="1" t="str">
        <f>IF(Дума_партии[[#This Row],[Наблюдателей]]=0,"",Дума_партии[[#This Row],[Наблюдателей]])</f>
        <v/>
      </c>
      <c r="AX105"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145.52908587257619</v>
      </c>
      <c r="AY105" s="10">
        <f>2*(Дума_одномандатный[[#This Row],[Майданов Денис Васильевич]]-(AC$203/100)*Дума_одномандатный[[#This Row],[Число действительных избирательных бюллетеней]])</f>
        <v>210.14400000000001</v>
      </c>
      <c r="AZ105" s="10">
        <f>(Дума_одномандатный[[#This Row],[Вброс]]+Дума_одномандатный[[#This Row],[Перекладывание]])/2</f>
        <v>177.83654293628808</v>
      </c>
    </row>
    <row r="106" spans="1:52" x14ac:dyDescent="0.4">
      <c r="A106" t="s">
        <v>49</v>
      </c>
      <c r="B106" t="s">
        <v>50</v>
      </c>
      <c r="C106" t="s">
        <v>51</v>
      </c>
      <c r="D106" t="s">
        <v>227</v>
      </c>
      <c r="E106" t="s">
        <v>235</v>
      </c>
      <c r="F106" s="1">
        <f t="shared" ca="1" si="50"/>
        <v>1957</v>
      </c>
      <c r="G106" s="8" t="str">
        <f>Дума_партии[[#This Row],[Местоположение]]</f>
        <v>Одинцово клин. госпиталь</v>
      </c>
      <c r="H106" s="2" t="str">
        <f>LEFT(Дума_одномандатный[[#This Row],[tik]],4)&amp;"."&amp;IF(ISNUMBER(VALUE(RIGHT(Дума_одномандатный[[#This Row],[tik]]))),RIGHT(Дума_одномандатный[[#This Row],[tik]]),"")</f>
        <v>Один.2</v>
      </c>
      <c r="I106">
        <v>208</v>
      </c>
      <c r="J106" s="8">
        <f>Дума_одномандатный[[#This Row],[Число избирателей, внесенных в список избирателей на момент окончания голосования]]</f>
        <v>208</v>
      </c>
      <c r="K106">
        <v>189</v>
      </c>
      <c r="L106">
        <v>0</v>
      </c>
      <c r="M106">
        <v>189</v>
      </c>
      <c r="N106">
        <v>0</v>
      </c>
      <c r="O106" s="3">
        <f t="shared" si="51"/>
        <v>90.865384615384613</v>
      </c>
      <c r="P106" s="3">
        <f t="shared" si="52"/>
        <v>0</v>
      </c>
      <c r="Q106">
        <v>0</v>
      </c>
      <c r="R106">
        <v>0</v>
      </c>
      <c r="S106">
        <v>60</v>
      </c>
      <c r="T106" s="1">
        <f t="shared" si="53"/>
        <v>60</v>
      </c>
      <c r="U106" s="3">
        <f t="shared" si="54"/>
        <v>0</v>
      </c>
      <c r="V106">
        <v>4</v>
      </c>
      <c r="W106" s="3">
        <f t="shared" si="55"/>
        <v>6.666666666666667</v>
      </c>
      <c r="X106">
        <v>56</v>
      </c>
      <c r="Y106">
        <v>0</v>
      </c>
      <c r="Z106">
        <v>0</v>
      </c>
      <c r="AA106">
        <v>2</v>
      </c>
      <c r="AB106" s="3">
        <f t="shared" si="56"/>
        <v>3.3333333333333335</v>
      </c>
      <c r="AC106">
        <v>3</v>
      </c>
      <c r="AD106" s="3">
        <f t="shared" si="57"/>
        <v>5</v>
      </c>
      <c r="AE106">
        <v>7</v>
      </c>
      <c r="AF106" s="3">
        <f t="shared" si="58"/>
        <v>11.666666666666666</v>
      </c>
      <c r="AG106">
        <v>22</v>
      </c>
      <c r="AH106" s="3">
        <f t="shared" si="59"/>
        <v>36.666666666666664</v>
      </c>
      <c r="AI106">
        <v>3</v>
      </c>
      <c r="AJ106" s="3">
        <f t="shared" si="60"/>
        <v>5</v>
      </c>
      <c r="AK106">
        <v>3</v>
      </c>
      <c r="AL106" s="3">
        <f t="shared" si="61"/>
        <v>5</v>
      </c>
      <c r="AM106">
        <v>2</v>
      </c>
      <c r="AN106" s="3">
        <f t="shared" si="62"/>
        <v>3.3333333333333335</v>
      </c>
      <c r="AO106">
        <v>8</v>
      </c>
      <c r="AP106" s="3">
        <f t="shared" si="63"/>
        <v>13.333333333333334</v>
      </c>
      <c r="AQ106">
        <v>6</v>
      </c>
      <c r="AR106" s="3">
        <f t="shared" si="64"/>
        <v>10</v>
      </c>
      <c r="AS106">
        <v>0</v>
      </c>
      <c r="AT106" s="3">
        <f t="shared" si="65"/>
        <v>0</v>
      </c>
      <c r="AU106" t="s">
        <v>315</v>
      </c>
      <c r="AV106" s="72" t="str">
        <f>Дума_партии[[#This Row],[КОИБ]]</f>
        <v>N</v>
      </c>
      <c r="AW106" s="1" t="str">
        <f>IF(Дума_партии[[#This Row],[Наблюдателей]]=0,"",Дума_партии[[#This Row],[Наблюдателей]])</f>
        <v/>
      </c>
      <c r="AX106"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8.908587257617727</v>
      </c>
      <c r="AY106" s="10">
        <f>2*(Дума_одномандатный[[#This Row],[Майданов Денис Васильевич]]-(AC$203/100)*Дума_одномандатный[[#This Row],[Число действительных избирательных бюллетеней]])</f>
        <v>12.863999999999997</v>
      </c>
      <c r="AZ106" s="10">
        <f>(Дума_одномандатный[[#This Row],[Вброс]]+Дума_одномандатный[[#This Row],[Перекладывание]])/2</f>
        <v>10.886293628808861</v>
      </c>
    </row>
    <row r="107" spans="1:52" x14ac:dyDescent="0.4">
      <c r="A107" t="s">
        <v>49</v>
      </c>
      <c r="B107" t="s">
        <v>50</v>
      </c>
      <c r="C107" t="s">
        <v>51</v>
      </c>
      <c r="D107" t="s">
        <v>227</v>
      </c>
      <c r="E107" t="s">
        <v>236</v>
      </c>
      <c r="F107" s="1">
        <f t="shared" ca="1" si="50"/>
        <v>1959</v>
      </c>
      <c r="G107" s="8" t="str">
        <f>Дума_партии[[#This Row],[Местоположение]]</f>
        <v>Одинцово</v>
      </c>
      <c r="H107" s="2" t="str">
        <f>LEFT(Дума_одномандатный[[#This Row],[tik]],4)&amp;"."&amp;IF(ISNUMBER(VALUE(RIGHT(Дума_одномандатный[[#This Row],[tik]]))),RIGHT(Дума_одномандатный[[#This Row],[tik]]),"")</f>
        <v>Один.2</v>
      </c>
      <c r="I107">
        <v>1743</v>
      </c>
      <c r="J107" s="8">
        <f>Дума_одномандатный[[#This Row],[Число избирателей, внесенных в список избирателей на момент окончания голосования]]</f>
        <v>1743</v>
      </c>
      <c r="K107">
        <v>1500</v>
      </c>
      <c r="L107">
        <v>0</v>
      </c>
      <c r="M107">
        <v>657</v>
      </c>
      <c r="N107">
        <v>128</v>
      </c>
      <c r="O107" s="3">
        <f t="shared" si="51"/>
        <v>45.037292025243829</v>
      </c>
      <c r="P107" s="3">
        <f t="shared" si="52"/>
        <v>7.3436603557085487</v>
      </c>
      <c r="Q107">
        <v>715</v>
      </c>
      <c r="R107">
        <v>128</v>
      </c>
      <c r="S107">
        <v>657</v>
      </c>
      <c r="T107" s="1">
        <f t="shared" si="53"/>
        <v>785</v>
      </c>
      <c r="U107" s="3">
        <f t="shared" si="54"/>
        <v>16.305732484076433</v>
      </c>
      <c r="V107">
        <v>32</v>
      </c>
      <c r="W107" s="3">
        <f t="shared" si="55"/>
        <v>4.0764331210191083</v>
      </c>
      <c r="X107">
        <v>753</v>
      </c>
      <c r="Y107">
        <v>0</v>
      </c>
      <c r="Z107">
        <v>0</v>
      </c>
      <c r="AA107">
        <v>32</v>
      </c>
      <c r="AB107" s="3">
        <f t="shared" si="56"/>
        <v>4.0764331210191083</v>
      </c>
      <c r="AC107">
        <v>36</v>
      </c>
      <c r="AD107" s="3">
        <f t="shared" si="57"/>
        <v>4.5859872611464967</v>
      </c>
      <c r="AE107">
        <v>57</v>
      </c>
      <c r="AF107" s="3">
        <f t="shared" si="58"/>
        <v>7.2611464968152868</v>
      </c>
      <c r="AG107">
        <v>289</v>
      </c>
      <c r="AH107" s="3">
        <f t="shared" si="59"/>
        <v>36.815286624203821</v>
      </c>
      <c r="AI107">
        <v>41</v>
      </c>
      <c r="AJ107" s="3">
        <f t="shared" si="60"/>
        <v>5.2229299363057322</v>
      </c>
      <c r="AK107">
        <v>40</v>
      </c>
      <c r="AL107" s="3">
        <f t="shared" si="61"/>
        <v>5.0955414012738851</v>
      </c>
      <c r="AM107">
        <v>15</v>
      </c>
      <c r="AN107" s="3">
        <f t="shared" si="62"/>
        <v>1.910828025477707</v>
      </c>
      <c r="AO107">
        <v>198</v>
      </c>
      <c r="AP107" s="3">
        <f t="shared" si="63"/>
        <v>25.222929936305732</v>
      </c>
      <c r="AQ107">
        <v>28</v>
      </c>
      <c r="AR107" s="3">
        <f t="shared" si="64"/>
        <v>3.5668789808917198</v>
      </c>
      <c r="AS107">
        <v>17</v>
      </c>
      <c r="AT107" s="3">
        <f t="shared" si="65"/>
        <v>2.1656050955414012</v>
      </c>
      <c r="AU107" t="s">
        <v>315</v>
      </c>
      <c r="AV107" s="72">
        <f>Дума_партии[[#This Row],[КОИБ]]</f>
        <v>2017</v>
      </c>
      <c r="AW107" s="1" t="str">
        <f>IF(Дума_партии[[#This Row],[Наблюдателей]]=0,"",Дума_партии[[#This Row],[Наблюдателей]])</f>
        <v/>
      </c>
      <c r="AX107"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110.34072022160663</v>
      </c>
      <c r="AY107" s="10">
        <f>2*(Дума_одномандатный[[#This Row],[Майданов Денис Васильевич]]-(AC$203/100)*Дума_одномандатный[[#This Row],[Число действительных избирательных бюллетеней]])</f>
        <v>159.33199999999994</v>
      </c>
      <c r="AZ107" s="10">
        <f>(Дума_одномандатный[[#This Row],[Вброс]]+Дума_одномандатный[[#This Row],[Перекладывание]])/2</f>
        <v>134.8363601108033</v>
      </c>
    </row>
    <row r="108" spans="1:52" x14ac:dyDescent="0.4">
      <c r="A108" t="s">
        <v>49</v>
      </c>
      <c r="B108" t="s">
        <v>50</v>
      </c>
      <c r="C108" t="s">
        <v>51</v>
      </c>
      <c r="D108" t="s">
        <v>227</v>
      </c>
      <c r="E108" t="s">
        <v>237</v>
      </c>
      <c r="F108" s="1">
        <f t="shared" ca="1" si="50"/>
        <v>1960</v>
      </c>
      <c r="G108" s="8" t="str">
        <f>Дума_партии[[#This Row],[Местоположение]]</f>
        <v>Одинцово</v>
      </c>
      <c r="H108" s="2" t="str">
        <f>LEFT(Дума_одномандатный[[#This Row],[tik]],4)&amp;"."&amp;IF(ISNUMBER(VALUE(RIGHT(Дума_одномандатный[[#This Row],[tik]]))),RIGHT(Дума_одномандатный[[#This Row],[tik]]),"")</f>
        <v>Один.2</v>
      </c>
      <c r="I108">
        <v>1130</v>
      </c>
      <c r="J108" s="8">
        <f>Дума_одномандатный[[#This Row],[Число избирателей, внесенных в список избирателей на момент окончания голосования]]</f>
        <v>1130</v>
      </c>
      <c r="K108">
        <v>1000</v>
      </c>
      <c r="L108">
        <v>0</v>
      </c>
      <c r="M108">
        <v>383</v>
      </c>
      <c r="N108">
        <v>6</v>
      </c>
      <c r="O108" s="3">
        <f t="shared" si="51"/>
        <v>34.424778761061944</v>
      </c>
      <c r="P108" s="3">
        <f t="shared" si="52"/>
        <v>0.53097345132743368</v>
      </c>
      <c r="Q108">
        <v>611</v>
      </c>
      <c r="R108">
        <v>6</v>
      </c>
      <c r="S108">
        <v>383</v>
      </c>
      <c r="T108" s="1">
        <f t="shared" si="53"/>
        <v>389</v>
      </c>
      <c r="U108" s="3">
        <f t="shared" si="54"/>
        <v>1.5424164524421593</v>
      </c>
      <c r="V108">
        <v>26</v>
      </c>
      <c r="W108" s="3">
        <f t="shared" si="55"/>
        <v>6.6838046272493576</v>
      </c>
      <c r="X108">
        <v>363</v>
      </c>
      <c r="Y108">
        <v>0</v>
      </c>
      <c r="Z108">
        <v>0</v>
      </c>
      <c r="AA108">
        <v>14</v>
      </c>
      <c r="AB108" s="3">
        <f t="shared" si="56"/>
        <v>3.5989717223650386</v>
      </c>
      <c r="AC108">
        <v>23</v>
      </c>
      <c r="AD108" s="3">
        <f t="shared" si="57"/>
        <v>5.9125964010282779</v>
      </c>
      <c r="AE108">
        <v>21</v>
      </c>
      <c r="AF108" s="3">
        <f t="shared" si="58"/>
        <v>5.3984575835475574</v>
      </c>
      <c r="AG108">
        <v>113</v>
      </c>
      <c r="AH108" s="3">
        <f t="shared" si="59"/>
        <v>29.048843187660669</v>
      </c>
      <c r="AI108">
        <v>31</v>
      </c>
      <c r="AJ108" s="3">
        <f t="shared" si="60"/>
        <v>7.969151670951157</v>
      </c>
      <c r="AK108">
        <v>12</v>
      </c>
      <c r="AL108" s="3">
        <f t="shared" si="61"/>
        <v>3.0848329048843186</v>
      </c>
      <c r="AM108">
        <v>2</v>
      </c>
      <c r="AN108" s="3">
        <f t="shared" si="62"/>
        <v>0.51413881748071977</v>
      </c>
      <c r="AO108">
        <v>128</v>
      </c>
      <c r="AP108" s="3">
        <f t="shared" si="63"/>
        <v>32.904884318766065</v>
      </c>
      <c r="AQ108">
        <v>10</v>
      </c>
      <c r="AR108" s="3">
        <f t="shared" si="64"/>
        <v>2.5706940874035991</v>
      </c>
      <c r="AS108">
        <v>9</v>
      </c>
      <c r="AT108" s="3">
        <f t="shared" si="65"/>
        <v>2.3136246786632393</v>
      </c>
      <c r="AU108" t="s">
        <v>315</v>
      </c>
      <c r="AV108" s="72">
        <f>Дума_партии[[#This Row],[КОИБ]]</f>
        <v>2017</v>
      </c>
      <c r="AW108" s="1" t="str">
        <f>IF(Дума_партии[[#This Row],[Наблюдателей]]=0,"",Дума_партии[[#This Row],[Наблюдателей]])</f>
        <v/>
      </c>
      <c r="AX108"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16.739612188365641</v>
      </c>
      <c r="AY108" s="10">
        <f>2*(Дума_одномандатный[[#This Row],[Майданов Денис Васильевич]]-(AC$203/100)*Дума_одномандатный[[#This Row],[Число действительных избирательных бюллетеней]])</f>
        <v>24.171999999999969</v>
      </c>
      <c r="AZ108" s="10">
        <f>(Дума_одномандатный[[#This Row],[Вброс]]+Дума_одномандатный[[#This Row],[Перекладывание]])/2</f>
        <v>20.455806094182805</v>
      </c>
    </row>
    <row r="109" spans="1:52" x14ac:dyDescent="0.4">
      <c r="A109" t="s">
        <v>49</v>
      </c>
      <c r="B109" t="s">
        <v>50</v>
      </c>
      <c r="C109" t="s">
        <v>51</v>
      </c>
      <c r="D109" t="s">
        <v>227</v>
      </c>
      <c r="E109" t="s">
        <v>238</v>
      </c>
      <c r="F109" s="1">
        <f t="shared" ca="1" si="50"/>
        <v>1963</v>
      </c>
      <c r="G109" s="8" t="str">
        <f>Дума_партии[[#This Row],[Местоположение]]</f>
        <v>Одинцово</v>
      </c>
      <c r="H109" s="2" t="str">
        <f>LEFT(Дума_одномандатный[[#This Row],[tik]],4)&amp;"."&amp;IF(ISNUMBER(VALUE(RIGHT(Дума_одномандатный[[#This Row],[tik]]))),RIGHT(Дума_одномандатный[[#This Row],[tik]]),"")</f>
        <v>Один.2</v>
      </c>
      <c r="I109">
        <v>2320</v>
      </c>
      <c r="J109" s="8">
        <f>Дума_одномандатный[[#This Row],[Число избирателей, внесенных в список избирателей на момент окончания голосования]]</f>
        <v>2320</v>
      </c>
      <c r="K109">
        <v>2000</v>
      </c>
      <c r="L109">
        <v>0</v>
      </c>
      <c r="M109">
        <v>788</v>
      </c>
      <c r="N109">
        <v>48</v>
      </c>
      <c r="O109" s="3">
        <f t="shared" si="51"/>
        <v>36.03448275862069</v>
      </c>
      <c r="P109" s="3">
        <f t="shared" si="52"/>
        <v>2.0689655172413794</v>
      </c>
      <c r="Q109">
        <v>1164</v>
      </c>
      <c r="R109">
        <v>48</v>
      </c>
      <c r="S109">
        <v>788</v>
      </c>
      <c r="T109" s="1">
        <f t="shared" si="53"/>
        <v>836</v>
      </c>
      <c r="U109" s="3">
        <f t="shared" si="54"/>
        <v>5.741626794258373</v>
      </c>
      <c r="V109">
        <v>35</v>
      </c>
      <c r="W109" s="3">
        <f t="shared" si="55"/>
        <v>4.1866028708133971</v>
      </c>
      <c r="X109">
        <v>801</v>
      </c>
      <c r="Y109">
        <v>0</v>
      </c>
      <c r="Z109">
        <v>0</v>
      </c>
      <c r="AA109">
        <v>28</v>
      </c>
      <c r="AB109" s="3">
        <f t="shared" si="56"/>
        <v>3.3492822966507179</v>
      </c>
      <c r="AC109">
        <v>53</v>
      </c>
      <c r="AD109" s="3">
        <f t="shared" si="57"/>
        <v>6.339712918660287</v>
      </c>
      <c r="AE109">
        <v>70</v>
      </c>
      <c r="AF109" s="3">
        <f t="shared" si="58"/>
        <v>8.3732057416267942</v>
      </c>
      <c r="AG109">
        <v>222</v>
      </c>
      <c r="AH109" s="3">
        <f t="shared" si="59"/>
        <v>26.555023923444978</v>
      </c>
      <c r="AI109">
        <v>54</v>
      </c>
      <c r="AJ109" s="3">
        <f t="shared" si="60"/>
        <v>6.4593301435406696</v>
      </c>
      <c r="AK109">
        <v>37</v>
      </c>
      <c r="AL109" s="3">
        <f t="shared" si="61"/>
        <v>4.4258373205741623</v>
      </c>
      <c r="AM109">
        <v>11</v>
      </c>
      <c r="AN109" s="3">
        <f t="shared" si="62"/>
        <v>1.3157894736842106</v>
      </c>
      <c r="AO109">
        <v>261</v>
      </c>
      <c r="AP109" s="3">
        <f t="shared" si="63"/>
        <v>31.220095693779903</v>
      </c>
      <c r="AQ109">
        <v>35</v>
      </c>
      <c r="AR109" s="3">
        <f t="shared" si="64"/>
        <v>4.1866028708133971</v>
      </c>
      <c r="AS109">
        <v>30</v>
      </c>
      <c r="AT109" s="3">
        <f t="shared" si="65"/>
        <v>3.5885167464114831</v>
      </c>
      <c r="AU109" t="s">
        <v>315</v>
      </c>
      <c r="AV109" s="72">
        <f>Дума_партии[[#This Row],[КОИБ]]</f>
        <v>2017</v>
      </c>
      <c r="AW109" s="1">
        <f>IF(Дума_партии[[#This Row],[Наблюдателей]]=0,"",Дума_партии[[#This Row],[Наблюдателей]])</f>
        <v>1</v>
      </c>
      <c r="AX109"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-0.93905817174518802</v>
      </c>
      <c r="AY109" s="10">
        <f>2*(Дума_одномандатный[[#This Row],[Майданов Денис Васильевич]]-(AC$203/100)*Дума_одномандатный[[#This Row],[Число действительных избирательных бюллетеней]])</f>
        <v>-1.3560000000000514</v>
      </c>
      <c r="AZ109" s="10">
        <f>(Дума_одномандатный[[#This Row],[Вброс]]+Дума_одномандатный[[#This Row],[Перекладывание]])/2</f>
        <v>-1.1475290858726197</v>
      </c>
    </row>
    <row r="110" spans="1:52" x14ac:dyDescent="0.4">
      <c r="A110" t="s">
        <v>49</v>
      </c>
      <c r="B110" t="s">
        <v>50</v>
      </c>
      <c r="C110" t="s">
        <v>51</v>
      </c>
      <c r="D110" t="s">
        <v>227</v>
      </c>
      <c r="E110" t="s">
        <v>239</v>
      </c>
      <c r="F110" s="1">
        <f t="shared" ca="1" si="50"/>
        <v>1964</v>
      </c>
      <c r="G110" s="8" t="str">
        <f>Дума_партии[[#This Row],[Местоположение]]</f>
        <v>Одинцово</v>
      </c>
      <c r="H110" s="2" t="str">
        <f>LEFT(Дума_одномандатный[[#This Row],[tik]],4)&amp;"."&amp;IF(ISNUMBER(VALUE(RIGHT(Дума_одномандатный[[#This Row],[tik]]))),RIGHT(Дума_одномандатный[[#This Row],[tik]]),"")</f>
        <v>Один.2</v>
      </c>
      <c r="I110">
        <v>1279</v>
      </c>
      <c r="J110" s="8">
        <f>Дума_одномандатный[[#This Row],[Число избирателей, внесенных в список избирателей на момент окончания голосования]]</f>
        <v>1279</v>
      </c>
      <c r="K110">
        <v>1000</v>
      </c>
      <c r="L110">
        <v>0</v>
      </c>
      <c r="M110">
        <v>468</v>
      </c>
      <c r="N110">
        <v>54</v>
      </c>
      <c r="O110" s="3">
        <f t="shared" si="51"/>
        <v>40.813135261923378</v>
      </c>
      <c r="P110" s="3">
        <f t="shared" si="52"/>
        <v>4.2220484753713841</v>
      </c>
      <c r="Q110">
        <v>478</v>
      </c>
      <c r="R110">
        <v>54</v>
      </c>
      <c r="S110">
        <v>467</v>
      </c>
      <c r="T110" s="1">
        <f t="shared" si="53"/>
        <v>521</v>
      </c>
      <c r="U110" s="3">
        <f t="shared" si="54"/>
        <v>10.36468330134357</v>
      </c>
      <c r="V110">
        <v>19</v>
      </c>
      <c r="W110" s="3">
        <f t="shared" si="55"/>
        <v>3.6468330134357005</v>
      </c>
      <c r="X110">
        <v>502</v>
      </c>
      <c r="Y110">
        <v>0</v>
      </c>
      <c r="Z110">
        <v>0</v>
      </c>
      <c r="AA110">
        <v>12</v>
      </c>
      <c r="AB110" s="3">
        <f t="shared" si="56"/>
        <v>2.3032629558541267</v>
      </c>
      <c r="AC110">
        <v>36</v>
      </c>
      <c r="AD110" s="3">
        <f t="shared" si="57"/>
        <v>6.90978886756238</v>
      </c>
      <c r="AE110">
        <v>39</v>
      </c>
      <c r="AF110" s="3">
        <f t="shared" si="58"/>
        <v>7.4856046065259116</v>
      </c>
      <c r="AG110">
        <v>192</v>
      </c>
      <c r="AH110" s="3">
        <f t="shared" si="59"/>
        <v>36.852207293666027</v>
      </c>
      <c r="AI110">
        <v>19</v>
      </c>
      <c r="AJ110" s="3">
        <f t="shared" si="60"/>
        <v>3.6468330134357005</v>
      </c>
      <c r="AK110">
        <v>25</v>
      </c>
      <c r="AL110" s="3">
        <f t="shared" si="61"/>
        <v>4.7984644913627639</v>
      </c>
      <c r="AM110">
        <v>12</v>
      </c>
      <c r="AN110" s="3">
        <f t="shared" si="62"/>
        <v>2.3032629558541267</v>
      </c>
      <c r="AO110">
        <v>140</v>
      </c>
      <c r="AP110" s="3">
        <f t="shared" si="63"/>
        <v>26.871401151631478</v>
      </c>
      <c r="AQ110">
        <v>17</v>
      </c>
      <c r="AR110" s="3">
        <f t="shared" si="64"/>
        <v>3.2629558541266794</v>
      </c>
      <c r="AS110">
        <v>10</v>
      </c>
      <c r="AT110" s="3">
        <f t="shared" si="65"/>
        <v>1.9193857965451055</v>
      </c>
      <c r="AU110" t="s">
        <v>315</v>
      </c>
      <c r="AV110" s="72">
        <f>Дума_партии[[#This Row],[КОИБ]]</f>
        <v>2017</v>
      </c>
      <c r="AW110" s="1" t="str">
        <f>IF(Дума_партии[[#This Row],[Наблюдателей]]=0,"",Дума_партии[[#This Row],[Наблюдателей]])</f>
        <v/>
      </c>
      <c r="AX110"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72.637119113573391</v>
      </c>
      <c r="AY110" s="10">
        <f>2*(Дума_одномандатный[[#This Row],[Майданов Денис Васильевич]]-(AC$203/100)*Дума_одномандатный[[#This Row],[Число действительных избирательных бюллетеней]])</f>
        <v>104.88799999999998</v>
      </c>
      <c r="AZ110" s="10">
        <f>(Дума_одномандатный[[#This Row],[Вброс]]+Дума_одномандатный[[#This Row],[Перекладывание]])/2</f>
        <v>88.762559556786684</v>
      </c>
    </row>
    <row r="111" spans="1:52" x14ac:dyDescent="0.4">
      <c r="A111" t="s">
        <v>49</v>
      </c>
      <c r="B111" t="s">
        <v>50</v>
      </c>
      <c r="C111" t="s">
        <v>51</v>
      </c>
      <c r="D111" t="s">
        <v>227</v>
      </c>
      <c r="E111" t="s">
        <v>240</v>
      </c>
      <c r="F111" s="1">
        <f t="shared" ca="1" si="50"/>
        <v>1965</v>
      </c>
      <c r="G111" s="8" t="str">
        <f>Дума_партии[[#This Row],[Местоположение]]</f>
        <v>Одинцово</v>
      </c>
      <c r="H111" s="2" t="str">
        <f>LEFT(Дума_одномандатный[[#This Row],[tik]],4)&amp;"."&amp;IF(ISNUMBER(VALUE(RIGHT(Дума_одномандатный[[#This Row],[tik]]))),RIGHT(Дума_одномандатный[[#This Row],[tik]]),"")</f>
        <v>Один.2</v>
      </c>
      <c r="I111">
        <v>1265</v>
      </c>
      <c r="J111" s="8">
        <f>Дума_одномандатный[[#This Row],[Число избирателей, внесенных в список избирателей на момент окончания голосования]]</f>
        <v>1265</v>
      </c>
      <c r="K111">
        <v>1000</v>
      </c>
      <c r="L111">
        <v>0</v>
      </c>
      <c r="M111">
        <v>473</v>
      </c>
      <c r="N111">
        <v>5</v>
      </c>
      <c r="O111" s="3">
        <f t="shared" si="51"/>
        <v>37.786561264822133</v>
      </c>
      <c r="P111" s="3">
        <f t="shared" si="52"/>
        <v>0.39525691699604742</v>
      </c>
      <c r="Q111">
        <v>522</v>
      </c>
      <c r="R111">
        <v>5</v>
      </c>
      <c r="S111">
        <v>473</v>
      </c>
      <c r="T111" s="1">
        <f t="shared" si="53"/>
        <v>478</v>
      </c>
      <c r="U111" s="3">
        <f t="shared" si="54"/>
        <v>1.0460251046025104</v>
      </c>
      <c r="V111">
        <v>15</v>
      </c>
      <c r="W111" s="3">
        <f t="shared" si="55"/>
        <v>3.1380753138075312</v>
      </c>
      <c r="X111">
        <v>463</v>
      </c>
      <c r="Y111">
        <v>0</v>
      </c>
      <c r="Z111">
        <v>0</v>
      </c>
      <c r="AA111">
        <v>25</v>
      </c>
      <c r="AB111" s="3">
        <f t="shared" si="56"/>
        <v>5.2301255230125525</v>
      </c>
      <c r="AC111">
        <v>19</v>
      </c>
      <c r="AD111" s="3">
        <f t="shared" si="57"/>
        <v>3.9748953974895396</v>
      </c>
      <c r="AE111">
        <v>43</v>
      </c>
      <c r="AF111" s="3">
        <f t="shared" si="58"/>
        <v>8.99581589958159</v>
      </c>
      <c r="AG111">
        <v>136</v>
      </c>
      <c r="AH111" s="3">
        <f t="shared" si="59"/>
        <v>28.451882845188283</v>
      </c>
      <c r="AI111">
        <v>32</v>
      </c>
      <c r="AJ111" s="3">
        <f t="shared" si="60"/>
        <v>6.6945606694560666</v>
      </c>
      <c r="AK111">
        <v>34</v>
      </c>
      <c r="AL111" s="3">
        <f t="shared" si="61"/>
        <v>7.1129707112970708</v>
      </c>
      <c r="AM111">
        <v>12</v>
      </c>
      <c r="AN111" s="3">
        <f t="shared" si="62"/>
        <v>2.510460251046025</v>
      </c>
      <c r="AO111">
        <v>131</v>
      </c>
      <c r="AP111" s="3">
        <f t="shared" si="63"/>
        <v>27.405857740585773</v>
      </c>
      <c r="AQ111">
        <v>23</v>
      </c>
      <c r="AR111" s="3">
        <f t="shared" si="64"/>
        <v>4.8117154811715483</v>
      </c>
      <c r="AS111">
        <v>8</v>
      </c>
      <c r="AT111" s="3">
        <f t="shared" si="65"/>
        <v>1.6736401673640167</v>
      </c>
      <c r="AU111" t="s">
        <v>315</v>
      </c>
      <c r="AV111" s="72">
        <f>Дума_партии[[#This Row],[КОИБ]]</f>
        <v>2017</v>
      </c>
      <c r="AW111" s="1" t="str">
        <f>IF(Дума_партии[[#This Row],[Наблюдателей]]=0,"",Дума_партии[[#This Row],[Наблюдателей]])</f>
        <v/>
      </c>
      <c r="AX111"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10.091412742382261</v>
      </c>
      <c r="AY111" s="10">
        <f>2*(Дума_одномандатный[[#This Row],[Майданов Денис Васильевич]]-(AC$203/100)*Дума_одномандатный[[#This Row],[Число действительных избирательных бюллетеней]])</f>
        <v>14.572000000000003</v>
      </c>
      <c r="AZ111" s="10">
        <f>(Дума_одномандатный[[#This Row],[Вброс]]+Дума_одномандатный[[#This Row],[Перекладывание]])/2</f>
        <v>12.331706371191132</v>
      </c>
    </row>
    <row r="112" spans="1:52" x14ac:dyDescent="0.4">
      <c r="A112" t="s">
        <v>49</v>
      </c>
      <c r="B112" t="s">
        <v>50</v>
      </c>
      <c r="C112" t="s">
        <v>51</v>
      </c>
      <c r="D112" t="s">
        <v>227</v>
      </c>
      <c r="E112" t="s">
        <v>241</v>
      </c>
      <c r="F112" s="1">
        <f t="shared" ca="1" si="50"/>
        <v>1966</v>
      </c>
      <c r="G112" s="8" t="str">
        <f>Дума_партии[[#This Row],[Местоположение]]</f>
        <v>Одинцово</v>
      </c>
      <c r="H112" s="2" t="str">
        <f>LEFT(Дума_одномандатный[[#This Row],[tik]],4)&amp;"."&amp;IF(ISNUMBER(VALUE(RIGHT(Дума_одномандатный[[#This Row],[tik]]))),RIGHT(Дума_одномандатный[[#This Row],[tik]]),"")</f>
        <v>Один.2</v>
      </c>
      <c r="I112">
        <v>1805</v>
      </c>
      <c r="J112" s="8">
        <f>Дума_одномандатный[[#This Row],[Число избирателей, внесенных в список избирателей на момент окончания голосования]]</f>
        <v>1805</v>
      </c>
      <c r="K112">
        <v>1500</v>
      </c>
      <c r="L112">
        <v>0</v>
      </c>
      <c r="M112">
        <v>726</v>
      </c>
      <c r="N112">
        <v>34</v>
      </c>
      <c r="O112" s="3">
        <f t="shared" si="51"/>
        <v>42.10526315789474</v>
      </c>
      <c r="P112" s="3">
        <f t="shared" si="52"/>
        <v>1.8836565096952909</v>
      </c>
      <c r="Q112">
        <v>740</v>
      </c>
      <c r="R112">
        <v>34</v>
      </c>
      <c r="S112">
        <v>699</v>
      </c>
      <c r="T112" s="1">
        <f t="shared" si="53"/>
        <v>733</v>
      </c>
      <c r="U112" s="3">
        <f t="shared" si="54"/>
        <v>4.6384720327421558</v>
      </c>
      <c r="V112">
        <v>26</v>
      </c>
      <c r="W112" s="3">
        <f t="shared" si="55"/>
        <v>3.5470668485675305</v>
      </c>
      <c r="X112">
        <v>707</v>
      </c>
      <c r="Y112">
        <v>0</v>
      </c>
      <c r="Z112">
        <v>0</v>
      </c>
      <c r="AA112">
        <v>20</v>
      </c>
      <c r="AB112" s="3">
        <f t="shared" si="56"/>
        <v>2.7285129604365621</v>
      </c>
      <c r="AC112">
        <v>54</v>
      </c>
      <c r="AD112" s="3">
        <f t="shared" si="57"/>
        <v>7.3669849931787175</v>
      </c>
      <c r="AE112">
        <v>67</v>
      </c>
      <c r="AF112" s="3">
        <f t="shared" si="58"/>
        <v>9.1405184174624825</v>
      </c>
      <c r="AG112">
        <v>249</v>
      </c>
      <c r="AH112" s="3">
        <f t="shared" si="59"/>
        <v>33.969986357435197</v>
      </c>
      <c r="AI112">
        <v>45</v>
      </c>
      <c r="AJ112" s="3">
        <f t="shared" si="60"/>
        <v>6.1391541609822644</v>
      </c>
      <c r="AK112">
        <v>27</v>
      </c>
      <c r="AL112" s="3">
        <f t="shared" si="61"/>
        <v>3.6834924965893587</v>
      </c>
      <c r="AM112">
        <v>18</v>
      </c>
      <c r="AN112" s="3">
        <f t="shared" si="62"/>
        <v>2.4556616643929057</v>
      </c>
      <c r="AO112">
        <v>194</v>
      </c>
      <c r="AP112" s="3">
        <f t="shared" si="63"/>
        <v>26.466575716234651</v>
      </c>
      <c r="AQ112">
        <v>24</v>
      </c>
      <c r="AR112" s="3">
        <f t="shared" si="64"/>
        <v>3.2742155525238745</v>
      </c>
      <c r="AS112">
        <v>9</v>
      </c>
      <c r="AT112" s="3">
        <f t="shared" si="65"/>
        <v>1.2278308321964528</v>
      </c>
      <c r="AU112" t="s">
        <v>315</v>
      </c>
      <c r="AV112" s="72">
        <f>Дума_партии[[#This Row],[КОИБ]]</f>
        <v>2017</v>
      </c>
      <c r="AW112" s="1" t="str">
        <f>IF(Дума_партии[[#This Row],[Наблюдателей]]=0,"",Дума_партии[[#This Row],[Наблюдателей]])</f>
        <v/>
      </c>
      <c r="AX112"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72.650969529085842</v>
      </c>
      <c r="AY112" s="10">
        <f>2*(Дума_одномандатный[[#This Row],[Майданов Денис Васильевич]]-(AC$203/100)*Дума_одномандатный[[#This Row],[Число действительных избирательных бюллетеней]])</f>
        <v>104.90799999999996</v>
      </c>
      <c r="AZ112" s="10">
        <f>(Дума_одномандатный[[#This Row],[Вброс]]+Дума_одномандатный[[#This Row],[Перекладывание]])/2</f>
        <v>88.7794847645429</v>
      </c>
    </row>
    <row r="113" spans="1:52" x14ac:dyDescent="0.4">
      <c r="A113" t="s">
        <v>49</v>
      </c>
      <c r="B113" t="s">
        <v>50</v>
      </c>
      <c r="C113" t="s">
        <v>51</v>
      </c>
      <c r="D113" t="s">
        <v>227</v>
      </c>
      <c r="E113" t="s">
        <v>242</v>
      </c>
      <c r="F113" s="1">
        <f t="shared" ca="1" si="50"/>
        <v>1967</v>
      </c>
      <c r="G113" s="8" t="str">
        <f>Дума_партии[[#This Row],[Местоположение]]</f>
        <v>Одинцово</v>
      </c>
      <c r="H113" s="2" t="str">
        <f>LEFT(Дума_одномандатный[[#This Row],[tik]],4)&amp;"."&amp;IF(ISNUMBER(VALUE(RIGHT(Дума_одномандатный[[#This Row],[tik]]))),RIGHT(Дума_одномандатный[[#This Row],[tik]]),"")</f>
        <v>Один.2</v>
      </c>
      <c r="I113">
        <v>2569</v>
      </c>
      <c r="J113" s="8">
        <f>Дума_одномандатный[[#This Row],[Число избирателей, внесенных в список избирателей на момент окончания голосования]]</f>
        <v>2569</v>
      </c>
      <c r="K113">
        <v>2000</v>
      </c>
      <c r="L113">
        <v>0</v>
      </c>
      <c r="M113">
        <v>961</v>
      </c>
      <c r="N113">
        <v>46</v>
      </c>
      <c r="O113" s="3">
        <f t="shared" si="51"/>
        <v>39.198131568703779</v>
      </c>
      <c r="P113" s="3">
        <f t="shared" si="52"/>
        <v>1.7905799922148695</v>
      </c>
      <c r="Q113">
        <v>993</v>
      </c>
      <c r="R113">
        <v>46</v>
      </c>
      <c r="S113">
        <v>921</v>
      </c>
      <c r="T113" s="1">
        <f t="shared" si="53"/>
        <v>967</v>
      </c>
      <c r="U113" s="3">
        <f t="shared" si="54"/>
        <v>4.7569803516028957</v>
      </c>
      <c r="V113">
        <v>32</v>
      </c>
      <c r="W113" s="3">
        <f t="shared" si="55"/>
        <v>3.3092037228541882</v>
      </c>
      <c r="X113">
        <v>935</v>
      </c>
      <c r="Y113">
        <v>0</v>
      </c>
      <c r="Z113">
        <v>0</v>
      </c>
      <c r="AA113">
        <v>37</v>
      </c>
      <c r="AB113" s="3">
        <f t="shared" si="56"/>
        <v>3.8262668045501553</v>
      </c>
      <c r="AC113">
        <v>56</v>
      </c>
      <c r="AD113" s="3">
        <f t="shared" si="57"/>
        <v>5.7911065149948291</v>
      </c>
      <c r="AE113">
        <v>90</v>
      </c>
      <c r="AF113" s="3">
        <f t="shared" si="58"/>
        <v>9.3071354705274043</v>
      </c>
      <c r="AG113">
        <v>312</v>
      </c>
      <c r="AH113" s="3">
        <f t="shared" si="59"/>
        <v>32.264736297828335</v>
      </c>
      <c r="AI113">
        <v>36</v>
      </c>
      <c r="AJ113" s="3">
        <f t="shared" si="60"/>
        <v>3.7228541882109618</v>
      </c>
      <c r="AK113">
        <v>46</v>
      </c>
      <c r="AL113" s="3">
        <f t="shared" si="61"/>
        <v>4.7569803516028957</v>
      </c>
      <c r="AM113">
        <v>16</v>
      </c>
      <c r="AN113" s="3">
        <f t="shared" si="62"/>
        <v>1.6546018614270941</v>
      </c>
      <c r="AO113">
        <v>283</v>
      </c>
      <c r="AP113" s="3">
        <f t="shared" si="63"/>
        <v>29.265770423991729</v>
      </c>
      <c r="AQ113">
        <v>42</v>
      </c>
      <c r="AR113" s="3">
        <f t="shared" si="64"/>
        <v>4.3433298862461216</v>
      </c>
      <c r="AS113">
        <v>17</v>
      </c>
      <c r="AT113" s="3">
        <f t="shared" si="65"/>
        <v>1.7580144777662874</v>
      </c>
      <c r="AU113" t="s">
        <v>315</v>
      </c>
      <c r="AV113" s="72">
        <f>Дума_партии[[#This Row],[КОИБ]]</f>
        <v>2017</v>
      </c>
      <c r="AW113" s="1" t="str">
        <f>IF(Дума_партии[[#This Row],[Наблюдателей]]=0,"",Дума_партии[[#This Row],[Наблюдателей]])</f>
        <v/>
      </c>
      <c r="AX113"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72.119113573407162</v>
      </c>
      <c r="AY113" s="10">
        <f>2*(Дума_одномандатный[[#This Row],[Майданов Денис Васильевич]]-(AC$203/100)*Дума_одномандатный[[#This Row],[Число действительных избирательных бюллетеней]])</f>
        <v>104.13999999999999</v>
      </c>
      <c r="AZ113" s="10">
        <f>(Дума_одномандатный[[#This Row],[Вброс]]+Дума_одномандатный[[#This Row],[Перекладывание]])/2</f>
        <v>88.129556786703574</v>
      </c>
    </row>
    <row r="114" spans="1:52" x14ac:dyDescent="0.4">
      <c r="A114" t="s">
        <v>49</v>
      </c>
      <c r="B114" t="s">
        <v>50</v>
      </c>
      <c r="C114" t="s">
        <v>51</v>
      </c>
      <c r="D114" t="s">
        <v>227</v>
      </c>
      <c r="E114" t="s">
        <v>243</v>
      </c>
      <c r="F114" s="1">
        <f t="shared" ca="1" si="50"/>
        <v>1968</v>
      </c>
      <c r="G114" s="8" t="str">
        <f>Дума_партии[[#This Row],[Местоположение]]</f>
        <v>Одинцово</v>
      </c>
      <c r="H114" s="2" t="str">
        <f>LEFT(Дума_одномандатный[[#This Row],[tik]],4)&amp;"."&amp;IF(ISNUMBER(VALUE(RIGHT(Дума_одномандатный[[#This Row],[tik]]))),RIGHT(Дума_одномандатный[[#This Row],[tik]]),"")</f>
        <v>Один.2</v>
      </c>
      <c r="I114">
        <v>1222</v>
      </c>
      <c r="J114" s="8">
        <f>Дума_одномандатный[[#This Row],[Число избирателей, внесенных в список избирателей на момент окончания голосования]]</f>
        <v>1222</v>
      </c>
      <c r="K114">
        <v>1000</v>
      </c>
      <c r="L114">
        <v>0</v>
      </c>
      <c r="M114">
        <v>464</v>
      </c>
      <c r="N114">
        <v>16</v>
      </c>
      <c r="O114" s="3">
        <f t="shared" si="51"/>
        <v>39.279869067103107</v>
      </c>
      <c r="P114" s="3">
        <f t="shared" si="52"/>
        <v>1.3093289689034371</v>
      </c>
      <c r="Q114">
        <v>520</v>
      </c>
      <c r="R114">
        <v>16</v>
      </c>
      <c r="S114">
        <v>460</v>
      </c>
      <c r="T114" s="1">
        <f t="shared" si="53"/>
        <v>476</v>
      </c>
      <c r="U114" s="3">
        <f t="shared" si="54"/>
        <v>3.3613445378151261</v>
      </c>
      <c r="V114">
        <v>31</v>
      </c>
      <c r="W114" s="3">
        <f t="shared" si="55"/>
        <v>6.5126050420168067</v>
      </c>
      <c r="X114">
        <v>445</v>
      </c>
      <c r="Y114">
        <v>0</v>
      </c>
      <c r="Z114">
        <v>0</v>
      </c>
      <c r="AA114">
        <v>21</v>
      </c>
      <c r="AB114" s="3">
        <f t="shared" si="56"/>
        <v>4.4117647058823533</v>
      </c>
      <c r="AC114">
        <v>28</v>
      </c>
      <c r="AD114" s="3">
        <f t="shared" si="57"/>
        <v>5.882352941176471</v>
      </c>
      <c r="AE114">
        <v>39</v>
      </c>
      <c r="AF114" s="3">
        <f t="shared" si="58"/>
        <v>8.1932773109243691</v>
      </c>
      <c r="AG114">
        <v>111</v>
      </c>
      <c r="AH114" s="3">
        <f t="shared" si="59"/>
        <v>23.319327731092436</v>
      </c>
      <c r="AI114">
        <v>15</v>
      </c>
      <c r="AJ114" s="3">
        <f t="shared" si="60"/>
        <v>3.1512605042016806</v>
      </c>
      <c r="AK114">
        <v>29</v>
      </c>
      <c r="AL114" s="3">
        <f t="shared" si="61"/>
        <v>6.0924369747899156</v>
      </c>
      <c r="AM114">
        <v>9</v>
      </c>
      <c r="AN114" s="3">
        <f t="shared" si="62"/>
        <v>1.8907563025210083</v>
      </c>
      <c r="AO114">
        <v>170</v>
      </c>
      <c r="AP114" s="3">
        <f t="shared" si="63"/>
        <v>35.714285714285715</v>
      </c>
      <c r="AQ114">
        <v>14</v>
      </c>
      <c r="AR114" s="3">
        <f t="shared" si="64"/>
        <v>2.9411764705882355</v>
      </c>
      <c r="AS114">
        <v>9</v>
      </c>
      <c r="AT114" s="3">
        <f t="shared" si="65"/>
        <v>1.8907563025210083</v>
      </c>
      <c r="AU114" t="s">
        <v>315</v>
      </c>
      <c r="AV114" s="72">
        <f>Дума_партии[[#This Row],[КОИБ]]</f>
        <v>2017</v>
      </c>
      <c r="AW114" s="1">
        <f>IF(Дума_партии[[#This Row],[Наблюдателей]]=0,"",Дума_партии[[#This Row],[Наблюдателей]])</f>
        <v>1</v>
      </c>
      <c r="AX114"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-17.603878116343509</v>
      </c>
      <c r="AY114" s="10">
        <f>2*(Дума_одномандатный[[#This Row],[Майданов Денис Васильевич]]-(AC$203/100)*Дума_одномандатный[[#This Row],[Число действительных избирательных бюллетеней]])</f>
        <v>-25.420000000000016</v>
      </c>
      <c r="AZ114" s="10">
        <f>(Дума_одномандатный[[#This Row],[Вброс]]+Дума_одномандатный[[#This Row],[Перекладывание]])/2</f>
        <v>-21.511939058171762</v>
      </c>
    </row>
    <row r="115" spans="1:52" x14ac:dyDescent="0.4">
      <c r="A115" t="s">
        <v>49</v>
      </c>
      <c r="B115" t="s">
        <v>50</v>
      </c>
      <c r="C115" t="s">
        <v>51</v>
      </c>
      <c r="D115" t="s">
        <v>227</v>
      </c>
      <c r="E115" t="s">
        <v>244</v>
      </c>
      <c r="F115" s="1">
        <f t="shared" ca="1" si="50"/>
        <v>1969</v>
      </c>
      <c r="G115" s="8" t="str">
        <f>Дума_партии[[#This Row],[Местоположение]]</f>
        <v>Одинцово</v>
      </c>
      <c r="H115" s="2" t="str">
        <f>LEFT(Дума_одномандатный[[#This Row],[tik]],4)&amp;"."&amp;IF(ISNUMBER(VALUE(RIGHT(Дума_одномандатный[[#This Row],[tik]]))),RIGHT(Дума_одномандатный[[#This Row],[tik]]),"")</f>
        <v>Один.2</v>
      </c>
      <c r="I115">
        <v>1451</v>
      </c>
      <c r="J115" s="8">
        <f>Дума_одномандатный[[#This Row],[Число избирателей, внесенных в список избирателей на момент окончания голосования]]</f>
        <v>1451</v>
      </c>
      <c r="K115">
        <v>1200</v>
      </c>
      <c r="L115">
        <v>0</v>
      </c>
      <c r="M115">
        <v>551</v>
      </c>
      <c r="N115">
        <v>60</v>
      </c>
      <c r="O115" s="3">
        <f t="shared" si="51"/>
        <v>42.108890420399725</v>
      </c>
      <c r="P115" s="3">
        <f t="shared" si="52"/>
        <v>4.1350792556857341</v>
      </c>
      <c r="Q115">
        <v>589</v>
      </c>
      <c r="R115">
        <v>60</v>
      </c>
      <c r="S115">
        <v>551</v>
      </c>
      <c r="T115" s="1">
        <f t="shared" si="53"/>
        <v>611</v>
      </c>
      <c r="U115" s="3">
        <f t="shared" si="54"/>
        <v>9.8199672667757767</v>
      </c>
      <c r="V115">
        <v>11</v>
      </c>
      <c r="W115" s="3">
        <f t="shared" si="55"/>
        <v>1.800327332242226</v>
      </c>
      <c r="X115">
        <v>600</v>
      </c>
      <c r="Y115">
        <v>0</v>
      </c>
      <c r="Z115">
        <v>0</v>
      </c>
      <c r="AA115">
        <v>10</v>
      </c>
      <c r="AB115" s="3">
        <f t="shared" si="56"/>
        <v>1.6366612111292962</v>
      </c>
      <c r="AC115">
        <v>37</v>
      </c>
      <c r="AD115" s="3">
        <f t="shared" si="57"/>
        <v>6.0556464811783961</v>
      </c>
      <c r="AE115">
        <v>39</v>
      </c>
      <c r="AF115" s="3">
        <f t="shared" si="58"/>
        <v>6.3829787234042552</v>
      </c>
      <c r="AG115">
        <v>282</v>
      </c>
      <c r="AH115" s="3">
        <f t="shared" si="59"/>
        <v>46.153846153846153</v>
      </c>
      <c r="AI115">
        <v>40</v>
      </c>
      <c r="AJ115" s="3">
        <f t="shared" si="60"/>
        <v>6.5466448445171848</v>
      </c>
      <c r="AK115">
        <v>48</v>
      </c>
      <c r="AL115" s="3">
        <f t="shared" si="61"/>
        <v>7.8559738134206221</v>
      </c>
      <c r="AM115">
        <v>8</v>
      </c>
      <c r="AN115" s="3">
        <f t="shared" si="62"/>
        <v>1.3093289689034371</v>
      </c>
      <c r="AO115">
        <v>127</v>
      </c>
      <c r="AP115" s="3">
        <f t="shared" si="63"/>
        <v>20.785597381342061</v>
      </c>
      <c r="AQ115">
        <v>5</v>
      </c>
      <c r="AR115" s="3">
        <f t="shared" si="64"/>
        <v>0.81833060556464809</v>
      </c>
      <c r="AS115">
        <v>4</v>
      </c>
      <c r="AT115" s="3">
        <f t="shared" si="65"/>
        <v>0.65466448445171854</v>
      </c>
      <c r="AU115" t="s">
        <v>315</v>
      </c>
      <c r="AV115" s="72">
        <f>Дума_партии[[#This Row],[КОИБ]]</f>
        <v>2017</v>
      </c>
      <c r="AW115" s="1" t="str">
        <f>IF(Дума_партии[[#This Row],[Наблюдателей]]=0,"",Дума_партии[[#This Row],[Наблюдателей]])</f>
        <v/>
      </c>
      <c r="AX115"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159.55678670360109</v>
      </c>
      <c r="AY115" s="10">
        <f>2*(Дума_одномандатный[[#This Row],[Майданов Денис Васильевич]]-(AC$203/100)*Дума_одномандатный[[#This Row],[Число действительных избирательных бюллетеней]])</f>
        <v>230.39999999999998</v>
      </c>
      <c r="AZ115" s="10">
        <f>(Дума_одномандатный[[#This Row],[Вброс]]+Дума_одномандатный[[#This Row],[Перекладывание]])/2</f>
        <v>194.97839335180055</v>
      </c>
    </row>
    <row r="116" spans="1:52" x14ac:dyDescent="0.4">
      <c r="A116" t="s">
        <v>49</v>
      </c>
      <c r="B116" t="s">
        <v>50</v>
      </c>
      <c r="C116" t="s">
        <v>51</v>
      </c>
      <c r="D116" t="s">
        <v>227</v>
      </c>
      <c r="E116" t="s">
        <v>245</v>
      </c>
      <c r="F116" s="1">
        <f t="shared" ca="1" si="50"/>
        <v>1970</v>
      </c>
      <c r="G116" s="8" t="str">
        <f>Дума_партии[[#This Row],[Местоположение]]</f>
        <v>Одинцово</v>
      </c>
      <c r="H116" s="2" t="str">
        <f>LEFT(Дума_одномандатный[[#This Row],[tik]],4)&amp;"."&amp;IF(ISNUMBER(VALUE(RIGHT(Дума_одномандатный[[#This Row],[tik]]))),RIGHT(Дума_одномандатный[[#This Row],[tik]]),"")</f>
        <v>Один.2</v>
      </c>
      <c r="I116">
        <v>1203</v>
      </c>
      <c r="J116" s="8">
        <f>Дума_одномандатный[[#This Row],[Число избирателей, внесенных в список избирателей на момент окончания голосования]]</f>
        <v>1203</v>
      </c>
      <c r="K116">
        <v>1000</v>
      </c>
      <c r="L116">
        <v>0</v>
      </c>
      <c r="M116">
        <v>409</v>
      </c>
      <c r="N116">
        <v>56</v>
      </c>
      <c r="O116" s="3">
        <f t="shared" si="51"/>
        <v>38.65336658354115</v>
      </c>
      <c r="P116" s="3">
        <f t="shared" si="52"/>
        <v>4.6550290939318373</v>
      </c>
      <c r="Q116">
        <v>535</v>
      </c>
      <c r="R116">
        <v>56</v>
      </c>
      <c r="S116">
        <v>409</v>
      </c>
      <c r="T116" s="1">
        <f t="shared" si="53"/>
        <v>465</v>
      </c>
      <c r="U116" s="3">
        <f t="shared" si="54"/>
        <v>12.043010752688172</v>
      </c>
      <c r="V116">
        <v>30</v>
      </c>
      <c r="W116" s="3">
        <f t="shared" si="55"/>
        <v>6.4516129032258061</v>
      </c>
      <c r="X116">
        <v>435</v>
      </c>
      <c r="Y116">
        <v>0</v>
      </c>
      <c r="Z116">
        <v>0</v>
      </c>
      <c r="AA116">
        <v>22</v>
      </c>
      <c r="AB116" s="3">
        <f t="shared" si="56"/>
        <v>4.731182795698925</v>
      </c>
      <c r="AC116">
        <v>19</v>
      </c>
      <c r="AD116" s="3">
        <f t="shared" si="57"/>
        <v>4.086021505376344</v>
      </c>
      <c r="AE116">
        <v>34</v>
      </c>
      <c r="AF116" s="3">
        <f t="shared" si="58"/>
        <v>7.311827956989247</v>
      </c>
      <c r="AG116">
        <v>159</v>
      </c>
      <c r="AH116" s="3">
        <f t="shared" si="59"/>
        <v>34.193548387096776</v>
      </c>
      <c r="AI116">
        <v>15</v>
      </c>
      <c r="AJ116" s="3">
        <f t="shared" si="60"/>
        <v>3.225806451612903</v>
      </c>
      <c r="AK116">
        <v>16</v>
      </c>
      <c r="AL116" s="3">
        <f t="shared" si="61"/>
        <v>3.4408602150537635</v>
      </c>
      <c r="AM116">
        <v>7</v>
      </c>
      <c r="AN116" s="3">
        <f t="shared" si="62"/>
        <v>1.5053763440860215</v>
      </c>
      <c r="AO116">
        <v>131</v>
      </c>
      <c r="AP116" s="3">
        <f t="shared" si="63"/>
        <v>28.172043010752688</v>
      </c>
      <c r="AQ116">
        <v>20</v>
      </c>
      <c r="AR116" s="3">
        <f t="shared" si="64"/>
        <v>4.301075268817204</v>
      </c>
      <c r="AS116">
        <v>12</v>
      </c>
      <c r="AT116" s="3">
        <f t="shared" si="65"/>
        <v>2.5806451612903225</v>
      </c>
      <c r="AU116" t="s">
        <v>315</v>
      </c>
      <c r="AV116" s="72">
        <f>Дума_партии[[#This Row],[КОИБ]]</f>
        <v>2017</v>
      </c>
      <c r="AW116" s="1" t="str">
        <f>IF(Дума_партии[[#This Row],[Наблюдателей]]=0,"",Дума_партии[[#This Row],[Наблюдателей]])</f>
        <v/>
      </c>
      <c r="AX116"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52.728531855955666</v>
      </c>
      <c r="AY116" s="10">
        <f>2*(Дума_одномандатный[[#This Row],[Майданов Денис Васильевич]]-(AC$203/100)*Дума_одномандатный[[#This Row],[Число действительных избирательных бюллетеней]])</f>
        <v>76.139999999999986</v>
      </c>
      <c r="AZ116" s="10">
        <f>(Дума_одномандатный[[#This Row],[Вброс]]+Дума_одномандатный[[#This Row],[Перекладывание]])/2</f>
        <v>64.434265927977833</v>
      </c>
    </row>
    <row r="117" spans="1:52" x14ac:dyDescent="0.4">
      <c r="A117" t="s">
        <v>49</v>
      </c>
      <c r="B117" t="s">
        <v>50</v>
      </c>
      <c r="C117" t="s">
        <v>51</v>
      </c>
      <c r="D117" t="s">
        <v>227</v>
      </c>
      <c r="E117" t="s">
        <v>246</v>
      </c>
      <c r="F117" s="1">
        <f t="shared" ca="1" si="50"/>
        <v>1971</v>
      </c>
      <c r="G117" s="8" t="str">
        <f>Дума_партии[[#This Row],[Местоположение]]</f>
        <v>Одинцово</v>
      </c>
      <c r="H117" s="2" t="str">
        <f>LEFT(Дума_одномандатный[[#This Row],[tik]],4)&amp;"."&amp;IF(ISNUMBER(VALUE(RIGHT(Дума_одномандатный[[#This Row],[tik]]))),RIGHT(Дума_одномандатный[[#This Row],[tik]]),"")</f>
        <v>Один.2</v>
      </c>
      <c r="I117">
        <v>2259</v>
      </c>
      <c r="J117" s="8">
        <f>Дума_одномандатный[[#This Row],[Число избирателей, внесенных в список избирателей на момент окончания голосования]]</f>
        <v>2259</v>
      </c>
      <c r="K117">
        <v>2000</v>
      </c>
      <c r="L117">
        <v>0</v>
      </c>
      <c r="M117">
        <v>783</v>
      </c>
      <c r="N117">
        <v>17</v>
      </c>
      <c r="O117" s="3">
        <f t="shared" si="51"/>
        <v>35.413899955732624</v>
      </c>
      <c r="P117" s="3">
        <f t="shared" si="52"/>
        <v>0.75254537405931832</v>
      </c>
      <c r="Q117">
        <v>1200</v>
      </c>
      <c r="R117">
        <v>17</v>
      </c>
      <c r="S117">
        <v>783</v>
      </c>
      <c r="T117" s="1">
        <f t="shared" si="53"/>
        <v>800</v>
      </c>
      <c r="U117" s="3">
        <f t="shared" si="54"/>
        <v>2.125</v>
      </c>
      <c r="V117">
        <v>30</v>
      </c>
      <c r="W117" s="3">
        <f t="shared" si="55"/>
        <v>3.75</v>
      </c>
      <c r="X117">
        <v>770</v>
      </c>
      <c r="Y117">
        <v>0</v>
      </c>
      <c r="Z117">
        <v>0</v>
      </c>
      <c r="AA117">
        <v>20</v>
      </c>
      <c r="AB117" s="3">
        <f t="shared" si="56"/>
        <v>2.5</v>
      </c>
      <c r="AC117">
        <v>55</v>
      </c>
      <c r="AD117" s="3">
        <f t="shared" si="57"/>
        <v>6.875</v>
      </c>
      <c r="AE117">
        <v>61</v>
      </c>
      <c r="AF117" s="3">
        <f t="shared" si="58"/>
        <v>7.625</v>
      </c>
      <c r="AG117">
        <v>216</v>
      </c>
      <c r="AH117" s="3">
        <f t="shared" si="59"/>
        <v>27</v>
      </c>
      <c r="AI117">
        <v>56</v>
      </c>
      <c r="AJ117" s="3">
        <f t="shared" si="60"/>
        <v>7</v>
      </c>
      <c r="AK117">
        <v>49</v>
      </c>
      <c r="AL117" s="3">
        <f t="shared" si="61"/>
        <v>6.125</v>
      </c>
      <c r="AM117">
        <v>14</v>
      </c>
      <c r="AN117" s="3">
        <f t="shared" si="62"/>
        <v>1.75</v>
      </c>
      <c r="AO117">
        <v>248</v>
      </c>
      <c r="AP117" s="3">
        <f t="shared" si="63"/>
        <v>31</v>
      </c>
      <c r="AQ117">
        <v>37</v>
      </c>
      <c r="AR117" s="3">
        <f t="shared" si="64"/>
        <v>4.625</v>
      </c>
      <c r="AS117">
        <v>14</v>
      </c>
      <c r="AT117" s="3">
        <f t="shared" si="65"/>
        <v>1.75</v>
      </c>
      <c r="AU117" t="s">
        <v>315</v>
      </c>
      <c r="AV117" s="72">
        <f>Дума_партии[[#This Row],[КОИБ]]</f>
        <v>2017</v>
      </c>
      <c r="AW117" s="1" t="str">
        <f>IF(Дума_партии[[#This Row],[Наблюдателей]]=0,"",Дума_партии[[#This Row],[Наблюдателей]])</f>
        <v/>
      </c>
      <c r="AX117"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2.6869806094182707</v>
      </c>
      <c r="AY117" s="10">
        <f>2*(Дума_одномандатный[[#This Row],[Майданов Денис Васильевич]]-(AC$203/100)*Дума_одномандатный[[#This Row],[Число действительных избирательных бюллетеней]])</f>
        <v>3.8799999999999386</v>
      </c>
      <c r="AZ117" s="10">
        <f>(Дума_одномандатный[[#This Row],[Вброс]]+Дума_одномандатный[[#This Row],[Перекладывание]])/2</f>
        <v>3.2834903047091046</v>
      </c>
    </row>
    <row r="118" spans="1:52" x14ac:dyDescent="0.4">
      <c r="A118" t="s">
        <v>49</v>
      </c>
      <c r="B118" t="s">
        <v>50</v>
      </c>
      <c r="C118" t="s">
        <v>51</v>
      </c>
      <c r="D118" t="s">
        <v>227</v>
      </c>
      <c r="E118" t="s">
        <v>247</v>
      </c>
      <c r="F118" s="1">
        <f t="shared" ca="1" si="50"/>
        <v>1972</v>
      </c>
      <c r="G118" s="8" t="str">
        <f>Дума_партии[[#This Row],[Местоположение]]</f>
        <v>Одинцово</v>
      </c>
      <c r="H118" s="2" t="str">
        <f>LEFT(Дума_одномандатный[[#This Row],[tik]],4)&amp;"."&amp;IF(ISNUMBER(VALUE(RIGHT(Дума_одномандатный[[#This Row],[tik]]))),RIGHT(Дума_одномандатный[[#This Row],[tik]]),"")</f>
        <v>Один.2</v>
      </c>
      <c r="I118">
        <v>1859</v>
      </c>
      <c r="J118" s="8">
        <f>Дума_одномандатный[[#This Row],[Число избирателей, внесенных в список избирателей на момент окончания голосования]]</f>
        <v>1859</v>
      </c>
      <c r="K118">
        <v>1100</v>
      </c>
      <c r="L118">
        <v>0</v>
      </c>
      <c r="M118">
        <v>808</v>
      </c>
      <c r="N118">
        <v>10</v>
      </c>
      <c r="O118" s="3">
        <f t="shared" si="51"/>
        <v>44.002151694459386</v>
      </c>
      <c r="P118" s="3">
        <f t="shared" si="52"/>
        <v>0.53792361484669182</v>
      </c>
      <c r="Q118">
        <v>282</v>
      </c>
      <c r="R118">
        <v>10</v>
      </c>
      <c r="S118">
        <v>805</v>
      </c>
      <c r="T118" s="1">
        <f t="shared" si="53"/>
        <v>815</v>
      </c>
      <c r="U118" s="3">
        <f t="shared" si="54"/>
        <v>1.2269938650306749</v>
      </c>
      <c r="V118">
        <v>41</v>
      </c>
      <c r="W118" s="3">
        <f t="shared" si="55"/>
        <v>5.0306748466257671</v>
      </c>
      <c r="X118">
        <v>774</v>
      </c>
      <c r="Y118">
        <v>0</v>
      </c>
      <c r="Z118">
        <v>0</v>
      </c>
      <c r="AA118">
        <v>22</v>
      </c>
      <c r="AB118" s="3">
        <f t="shared" si="56"/>
        <v>2.6993865030674846</v>
      </c>
      <c r="AC118">
        <v>45</v>
      </c>
      <c r="AD118" s="3">
        <f t="shared" si="57"/>
        <v>5.5214723926380369</v>
      </c>
      <c r="AE118">
        <v>54</v>
      </c>
      <c r="AF118" s="3">
        <f t="shared" si="58"/>
        <v>6.6257668711656441</v>
      </c>
      <c r="AG118">
        <v>335</v>
      </c>
      <c r="AH118" s="3">
        <f t="shared" si="59"/>
        <v>41.104294478527606</v>
      </c>
      <c r="AI118">
        <v>53</v>
      </c>
      <c r="AJ118" s="3">
        <f t="shared" si="60"/>
        <v>6.5030674846625764</v>
      </c>
      <c r="AK118">
        <v>34</v>
      </c>
      <c r="AL118" s="3">
        <f t="shared" si="61"/>
        <v>4.1717791411042944</v>
      </c>
      <c r="AM118">
        <v>16</v>
      </c>
      <c r="AN118" s="3">
        <f t="shared" si="62"/>
        <v>1.9631901840490797</v>
      </c>
      <c r="AO118">
        <v>183</v>
      </c>
      <c r="AP118" s="3">
        <f t="shared" si="63"/>
        <v>22.45398773006135</v>
      </c>
      <c r="AQ118">
        <v>15</v>
      </c>
      <c r="AR118" s="3">
        <f t="shared" si="64"/>
        <v>1.8404907975460123</v>
      </c>
      <c r="AS118">
        <v>17</v>
      </c>
      <c r="AT118" s="3">
        <f t="shared" si="65"/>
        <v>2.0858895705521472</v>
      </c>
      <c r="AU118" t="s">
        <v>315</v>
      </c>
      <c r="AV118" s="72">
        <f>Дума_партии[[#This Row],[КОИБ]]</f>
        <v>2017</v>
      </c>
      <c r="AW118" s="1" t="str">
        <f>IF(Дума_партии[[#This Row],[Наблюдателей]]=0,"",Дума_партии[[#This Row],[Наблюдателей]])</f>
        <v/>
      </c>
      <c r="AX118"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165.96675900277006</v>
      </c>
      <c r="AY118" s="10">
        <f>2*(Дума_одномандатный[[#This Row],[Майданов Денис Васильевич]]-(AC$203/100)*Дума_одномандатный[[#This Row],[Число действительных избирательных бюллетеней]])</f>
        <v>239.65599999999995</v>
      </c>
      <c r="AZ118" s="10">
        <f>(Дума_одномандатный[[#This Row],[Вброс]]+Дума_одномандатный[[#This Row],[Перекладывание]])/2</f>
        <v>202.81137950138501</v>
      </c>
    </row>
    <row r="119" spans="1:52" x14ac:dyDescent="0.4">
      <c r="A119" t="s">
        <v>49</v>
      </c>
      <c r="B119" t="s">
        <v>50</v>
      </c>
      <c r="C119" t="s">
        <v>51</v>
      </c>
      <c r="D119" t="s">
        <v>227</v>
      </c>
      <c r="E119" t="s">
        <v>248</v>
      </c>
      <c r="F119" s="1">
        <f t="shared" ca="1" si="50"/>
        <v>1974</v>
      </c>
      <c r="G119" s="8" t="str">
        <f>Дума_партии[[#This Row],[Местоположение]]</f>
        <v>Одинцово</v>
      </c>
      <c r="H119" s="2" t="str">
        <f>LEFT(Дума_одномандатный[[#This Row],[tik]],4)&amp;"."&amp;IF(ISNUMBER(VALUE(RIGHT(Дума_одномандатный[[#This Row],[tik]]))),RIGHT(Дума_одномандатный[[#This Row],[tik]]),"")</f>
        <v>Один.2</v>
      </c>
      <c r="I119">
        <v>2084</v>
      </c>
      <c r="J119" s="8">
        <f>Дума_одномандатный[[#This Row],[Число избирателей, внесенных в список избирателей на момент окончания голосования]]</f>
        <v>2084</v>
      </c>
      <c r="K119">
        <v>1800</v>
      </c>
      <c r="L119">
        <v>0</v>
      </c>
      <c r="M119">
        <v>751</v>
      </c>
      <c r="N119">
        <v>7</v>
      </c>
      <c r="O119" s="3">
        <f t="shared" si="51"/>
        <v>36.372360844529751</v>
      </c>
      <c r="P119" s="3">
        <f t="shared" si="52"/>
        <v>0.33589251439539347</v>
      </c>
      <c r="Q119">
        <v>1042</v>
      </c>
      <c r="R119">
        <v>7</v>
      </c>
      <c r="S119">
        <v>751</v>
      </c>
      <c r="T119" s="1">
        <f t="shared" si="53"/>
        <v>758</v>
      </c>
      <c r="U119" s="3">
        <f t="shared" si="54"/>
        <v>0.92348284960422167</v>
      </c>
      <c r="V119">
        <v>40</v>
      </c>
      <c r="W119" s="3">
        <f t="shared" si="55"/>
        <v>5.2770448548812663</v>
      </c>
      <c r="X119">
        <v>718</v>
      </c>
      <c r="Y119">
        <v>0</v>
      </c>
      <c r="Z119">
        <v>0</v>
      </c>
      <c r="AA119">
        <v>15</v>
      </c>
      <c r="AB119" s="3">
        <f t="shared" si="56"/>
        <v>1.9788918205804749</v>
      </c>
      <c r="AC119">
        <v>43</v>
      </c>
      <c r="AD119" s="3">
        <f t="shared" si="57"/>
        <v>5.6728232189973617</v>
      </c>
      <c r="AE119">
        <v>63</v>
      </c>
      <c r="AF119" s="3">
        <f t="shared" si="58"/>
        <v>8.311345646437994</v>
      </c>
      <c r="AG119">
        <v>209</v>
      </c>
      <c r="AH119" s="3">
        <f t="shared" si="59"/>
        <v>27.572559366754618</v>
      </c>
      <c r="AI119">
        <v>42</v>
      </c>
      <c r="AJ119" s="3">
        <f t="shared" si="60"/>
        <v>5.5408970976253302</v>
      </c>
      <c r="AK119">
        <v>43</v>
      </c>
      <c r="AL119" s="3">
        <f t="shared" si="61"/>
        <v>5.6728232189973617</v>
      </c>
      <c r="AM119">
        <v>20</v>
      </c>
      <c r="AN119" s="3">
        <f t="shared" si="62"/>
        <v>2.6385224274406331</v>
      </c>
      <c r="AO119">
        <v>252</v>
      </c>
      <c r="AP119" s="3">
        <f t="shared" si="63"/>
        <v>33.245382585751976</v>
      </c>
      <c r="AQ119">
        <v>20</v>
      </c>
      <c r="AR119" s="3">
        <f t="shared" si="64"/>
        <v>2.6385224274406331</v>
      </c>
      <c r="AS119">
        <v>11</v>
      </c>
      <c r="AT119" s="3">
        <f t="shared" si="65"/>
        <v>1.4511873350923483</v>
      </c>
      <c r="AU119" t="s">
        <v>315</v>
      </c>
      <c r="AV119" s="72">
        <f>Дума_партии[[#This Row],[КОИБ]]</f>
        <v>2017</v>
      </c>
      <c r="AW119" s="1">
        <f>IF(Дума_партии[[#This Row],[Наблюдателей]]=0,"",Дума_партии[[#This Row],[Наблюдателей]])</f>
        <v>1</v>
      </c>
      <c r="AX119"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13.013850415512451</v>
      </c>
      <c r="AY119" s="10">
        <f>2*(Дума_одномандатный[[#This Row],[Майданов Денис Васильевич]]-(AC$203/100)*Дума_одномандатный[[#This Row],[Число действительных избирательных бюллетеней]])</f>
        <v>18.791999999999973</v>
      </c>
      <c r="AZ119" s="10">
        <f>(Дума_одномандатный[[#This Row],[Вброс]]+Дума_одномандатный[[#This Row],[Перекладывание]])/2</f>
        <v>15.902925207756212</v>
      </c>
    </row>
    <row r="120" spans="1:52" s="18" customFormat="1" x14ac:dyDescent="0.4">
      <c r="A120" s="18" t="s">
        <v>49</v>
      </c>
      <c r="B120" s="18" t="s">
        <v>50</v>
      </c>
      <c r="C120" s="18" t="s">
        <v>51</v>
      </c>
      <c r="D120" s="18" t="s">
        <v>227</v>
      </c>
      <c r="E120" s="18" t="s">
        <v>354</v>
      </c>
      <c r="F120" s="18">
        <f ca="1">SUMPRODUCT(MID(0&amp;E120, LARGE(INDEX(ISNUMBER(--MID(E120, ROW(INDIRECT("1:"&amp;LEN(E120))), 1)) * ROW(INDIRECT("1:"&amp;LEN(E120))), 0), ROW(INDIRECT("1:"&amp;LEN(E120))))+1, 1) * 10^ROW(INDIRECT("1:"&amp;LEN(E120)))/10)</f>
        <v>1976</v>
      </c>
      <c r="G120" s="19" t="str">
        <f>Дума_партии[[#This Row],[Местоположение]]</f>
        <v>Одинцово</v>
      </c>
      <c r="H120" s="32" t="str">
        <f>LEFT(Дума_одномандатный[[#This Row],[tik]],4)&amp;"."&amp;IF(ISNUMBER(VALUE(RIGHT(Дума_одномандатный[[#This Row],[tik]]))),RIGHT(Дума_одномандатный[[#This Row],[tik]]),"")</f>
        <v>Один.2</v>
      </c>
      <c r="J120" s="19">
        <f>Дума_одномандатный[[#This Row],[Число избирателей, внесенных в список избирателей на момент окончания голосования]]</f>
        <v>0</v>
      </c>
      <c r="O120" s="20" t="e">
        <f>100*(M120+N120)/I120</f>
        <v>#DIV/0!</v>
      </c>
      <c r="P120" s="20" t="e">
        <f>100*N120/I120</f>
        <v>#DIV/0!</v>
      </c>
      <c r="T120" s="18">
        <f>R120+S120</f>
        <v>0</v>
      </c>
      <c r="U120" s="20" t="e">
        <f>100*R120/T120</f>
        <v>#DIV/0!</v>
      </c>
      <c r="W120" s="20" t="e">
        <f>100*V120/T120</f>
        <v>#DIV/0!</v>
      </c>
      <c r="AB120" s="20" t="e">
        <f>100*AA120/$T120</f>
        <v>#DIV/0!</v>
      </c>
      <c r="AD120" s="20" t="e">
        <f>100*AC120/$T120</f>
        <v>#DIV/0!</v>
      </c>
      <c r="AF120" s="20" t="e">
        <f>100*AE120/$T120</f>
        <v>#DIV/0!</v>
      </c>
      <c r="AH120" s="20" t="e">
        <f>100*AG120/$T120</f>
        <v>#DIV/0!</v>
      </c>
      <c r="AJ120" s="20" t="e">
        <f>100*AI120/$T120</f>
        <v>#DIV/0!</v>
      </c>
      <c r="AL120" s="20" t="e">
        <f>100*AK120/$T120</f>
        <v>#DIV/0!</v>
      </c>
      <c r="AM120" s="20"/>
      <c r="AN120" s="20" t="e">
        <f>100*AM120/$T120</f>
        <v>#DIV/0!</v>
      </c>
      <c r="AP120" s="20" t="e">
        <f>100*AO120/$T120</f>
        <v>#DIV/0!</v>
      </c>
      <c r="AR120" s="20" t="e">
        <f>100*AQ120/$T120</f>
        <v>#DIV/0!</v>
      </c>
      <c r="AT120" s="20" t="e">
        <f>100*AS120/$T120</f>
        <v>#DIV/0!</v>
      </c>
      <c r="AV120" s="76" t="str">
        <f>Дума_партии[[#This Row],[КОИБ]]</f>
        <v>N</v>
      </c>
      <c r="AW120" s="18">
        <f>IF(Дума_партии[[#This Row],[Наблюдателей]]=0,"",Дума_партии[[#This Row],[Наблюдателей]])</f>
        <v>2</v>
      </c>
      <c r="AX120" s="21">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0</v>
      </c>
      <c r="AY120" s="21">
        <f>2*(Дума_одномандатный[[#This Row],[Майданов Денис Васильевич]]-(AC$203/100)*Дума_одномандатный[[#This Row],[Число действительных избирательных бюллетеней]])</f>
        <v>0</v>
      </c>
      <c r="AZ120" s="21">
        <f>(Дума_одномандатный[[#This Row],[Вброс]]+Дума_одномандатный[[#This Row],[Перекладывание]])/2</f>
        <v>0</v>
      </c>
    </row>
    <row r="121" spans="1:52" x14ac:dyDescent="0.4">
      <c r="A121" t="s">
        <v>49</v>
      </c>
      <c r="B121" t="s">
        <v>50</v>
      </c>
      <c r="C121" t="s">
        <v>51</v>
      </c>
      <c r="D121" t="s">
        <v>227</v>
      </c>
      <c r="E121" t="s">
        <v>249</v>
      </c>
      <c r="F121" s="1">
        <f t="shared" ca="1" si="50"/>
        <v>1978</v>
      </c>
      <c r="G121" s="8" t="str">
        <f>Дума_партии[[#This Row],[Местоположение]]</f>
        <v>Одинцово</v>
      </c>
      <c r="H121" s="2" t="str">
        <f>LEFT(Дума_одномандатный[[#This Row],[tik]],4)&amp;"."&amp;IF(ISNUMBER(VALUE(RIGHT(Дума_одномандатный[[#This Row],[tik]]))),RIGHT(Дума_одномандатный[[#This Row],[tik]]),"")</f>
        <v>Один.2</v>
      </c>
      <c r="I121">
        <v>2430</v>
      </c>
      <c r="J121" s="8">
        <f>Дума_одномандатный[[#This Row],[Число избирателей, внесенных в список избирателей на момент окончания голосования]]</f>
        <v>2430</v>
      </c>
      <c r="K121">
        <v>2000</v>
      </c>
      <c r="L121">
        <v>0</v>
      </c>
      <c r="M121">
        <v>865</v>
      </c>
      <c r="N121">
        <v>143</v>
      </c>
      <c r="O121" s="3">
        <f t="shared" si="51"/>
        <v>41.481481481481481</v>
      </c>
      <c r="P121" s="3">
        <f t="shared" si="52"/>
        <v>5.8847736625514404</v>
      </c>
      <c r="Q121">
        <v>992</v>
      </c>
      <c r="R121">
        <v>142</v>
      </c>
      <c r="S121">
        <v>865</v>
      </c>
      <c r="T121" s="1">
        <f t="shared" si="53"/>
        <v>1007</v>
      </c>
      <c r="U121" s="3">
        <f t="shared" si="54"/>
        <v>14.101290963257199</v>
      </c>
      <c r="V121">
        <v>85</v>
      </c>
      <c r="W121" s="3">
        <f t="shared" si="55"/>
        <v>8.4409136047666333</v>
      </c>
      <c r="X121">
        <v>922</v>
      </c>
      <c r="Y121">
        <v>0</v>
      </c>
      <c r="Z121">
        <v>0</v>
      </c>
      <c r="AA121">
        <v>21</v>
      </c>
      <c r="AB121" s="3">
        <f t="shared" si="56"/>
        <v>2.0854021847070507</v>
      </c>
      <c r="AC121">
        <v>55</v>
      </c>
      <c r="AD121" s="3">
        <f t="shared" si="57"/>
        <v>5.4617676266137041</v>
      </c>
      <c r="AE121">
        <v>69</v>
      </c>
      <c r="AF121" s="3">
        <f t="shared" si="58"/>
        <v>6.8520357497517379</v>
      </c>
      <c r="AG121">
        <v>311</v>
      </c>
      <c r="AH121" s="3">
        <f t="shared" si="59"/>
        <v>30.883813306852037</v>
      </c>
      <c r="AI121">
        <v>62</v>
      </c>
      <c r="AJ121" s="3">
        <f t="shared" si="60"/>
        <v>6.156901688182721</v>
      </c>
      <c r="AK121">
        <v>66</v>
      </c>
      <c r="AL121" s="3">
        <f t="shared" si="61"/>
        <v>6.5541211519364451</v>
      </c>
      <c r="AM121">
        <v>18</v>
      </c>
      <c r="AN121" s="3">
        <f t="shared" si="62"/>
        <v>1.7874875868917577</v>
      </c>
      <c r="AO121">
        <v>253</v>
      </c>
      <c r="AP121" s="3">
        <f t="shared" si="63"/>
        <v>25.124131082423037</v>
      </c>
      <c r="AQ121">
        <v>42</v>
      </c>
      <c r="AR121" s="3">
        <f t="shared" si="64"/>
        <v>4.1708043694141015</v>
      </c>
      <c r="AS121">
        <v>25</v>
      </c>
      <c r="AT121" s="3">
        <f t="shared" si="65"/>
        <v>2.4826216484607744</v>
      </c>
      <c r="AU121" t="s">
        <v>315</v>
      </c>
      <c r="AV121" s="72" t="str">
        <f>Дума_партии[[#This Row],[КОИБ]]</f>
        <v>N</v>
      </c>
      <c r="AW121" s="1" t="str">
        <f>IF(Дума_партии[[#This Row],[Наблюдателей]]=0,"",Дума_партии[[#This Row],[Наблюдателей]])</f>
        <v/>
      </c>
      <c r="AX121"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75.739612188365612</v>
      </c>
      <c r="AY121" s="10">
        <f>2*(Дума_одномандатный[[#This Row],[Майданов Денис Васильевич]]-(AC$203/100)*Дума_одномандатный[[#This Row],[Число действительных избирательных бюллетеней]])</f>
        <v>109.36799999999994</v>
      </c>
      <c r="AZ121" s="10">
        <f>(Дума_одномандатный[[#This Row],[Вброс]]+Дума_одномандатный[[#This Row],[Перекладывание]])/2</f>
        <v>92.553806094182775</v>
      </c>
    </row>
    <row r="122" spans="1:52" x14ac:dyDescent="0.4">
      <c r="A122" t="s">
        <v>49</v>
      </c>
      <c r="B122" t="s">
        <v>50</v>
      </c>
      <c r="C122" t="s">
        <v>51</v>
      </c>
      <c r="D122" t="s">
        <v>227</v>
      </c>
      <c r="E122" t="s">
        <v>250</v>
      </c>
      <c r="F122" s="1">
        <f t="shared" ca="1" si="50"/>
        <v>1979</v>
      </c>
      <c r="G122" s="8" t="str">
        <f>Дума_партии[[#This Row],[Местоположение]]</f>
        <v>Одинцово</v>
      </c>
      <c r="H122" s="2" t="str">
        <f>LEFT(Дума_одномандатный[[#This Row],[tik]],4)&amp;"."&amp;IF(ISNUMBER(VALUE(RIGHT(Дума_одномандатный[[#This Row],[tik]]))),RIGHT(Дума_одномандатный[[#This Row],[tik]]),"")</f>
        <v>Один.2</v>
      </c>
      <c r="I122">
        <v>2223</v>
      </c>
      <c r="J122" s="8">
        <f>Дума_одномандатный[[#This Row],[Число избирателей, внесенных в список избирателей на момент окончания голосования]]</f>
        <v>2223</v>
      </c>
      <c r="K122">
        <v>2000</v>
      </c>
      <c r="L122">
        <v>0</v>
      </c>
      <c r="M122">
        <v>709</v>
      </c>
      <c r="N122">
        <v>15</v>
      </c>
      <c r="O122" s="3">
        <f t="shared" si="51"/>
        <v>32.568600989653618</v>
      </c>
      <c r="P122" s="3">
        <f t="shared" si="52"/>
        <v>0.67476383265856954</v>
      </c>
      <c r="Q122">
        <v>1276</v>
      </c>
      <c r="R122">
        <v>15</v>
      </c>
      <c r="S122">
        <v>709</v>
      </c>
      <c r="T122" s="1">
        <f t="shared" si="53"/>
        <v>724</v>
      </c>
      <c r="U122" s="3">
        <f t="shared" si="54"/>
        <v>2.0718232044198897</v>
      </c>
      <c r="V122">
        <v>35</v>
      </c>
      <c r="W122" s="3">
        <f t="shared" si="55"/>
        <v>4.834254143646409</v>
      </c>
      <c r="X122">
        <v>689</v>
      </c>
      <c r="Y122">
        <v>0</v>
      </c>
      <c r="Z122">
        <v>0</v>
      </c>
      <c r="AA122">
        <v>32</v>
      </c>
      <c r="AB122" s="3">
        <f t="shared" si="56"/>
        <v>4.4198895027624312</v>
      </c>
      <c r="AC122">
        <v>54</v>
      </c>
      <c r="AD122" s="3">
        <f t="shared" si="57"/>
        <v>7.458563535911602</v>
      </c>
      <c r="AE122">
        <v>82</v>
      </c>
      <c r="AF122" s="3">
        <f t="shared" si="58"/>
        <v>11.325966850828729</v>
      </c>
      <c r="AG122">
        <v>185</v>
      </c>
      <c r="AH122" s="3">
        <f t="shared" si="59"/>
        <v>25.552486187845304</v>
      </c>
      <c r="AI122">
        <v>32</v>
      </c>
      <c r="AJ122" s="3">
        <f t="shared" si="60"/>
        <v>4.4198895027624312</v>
      </c>
      <c r="AK122">
        <v>54</v>
      </c>
      <c r="AL122" s="3">
        <f t="shared" si="61"/>
        <v>7.458563535911602</v>
      </c>
      <c r="AM122">
        <v>19</v>
      </c>
      <c r="AN122" s="3">
        <f t="shared" si="62"/>
        <v>2.6243093922651934</v>
      </c>
      <c r="AO122">
        <v>194</v>
      </c>
      <c r="AP122" s="3">
        <f t="shared" si="63"/>
        <v>26.795580110497237</v>
      </c>
      <c r="AQ122">
        <v>27</v>
      </c>
      <c r="AR122" s="3">
        <f t="shared" si="64"/>
        <v>3.729281767955801</v>
      </c>
      <c r="AS122">
        <v>10</v>
      </c>
      <c r="AT122" s="3">
        <f t="shared" si="65"/>
        <v>1.3812154696132597</v>
      </c>
      <c r="AU122" t="s">
        <v>315</v>
      </c>
      <c r="AV122" s="72">
        <f>Дума_партии[[#This Row],[КОИБ]]</f>
        <v>2017</v>
      </c>
      <c r="AW122" s="1" t="str">
        <f>IF(Дума_партии[[#This Row],[Наблюдателей]]=0,"",Дума_партии[[#This Row],[Наблюдателей]])</f>
        <v/>
      </c>
      <c r="AX122"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-9.0609418282548688</v>
      </c>
      <c r="AY122" s="10">
        <f>2*(Дума_одномандатный[[#This Row],[Майданов Денис Васильевич]]-(AC$203/100)*Дума_одномандатный[[#This Row],[Число действительных избирательных бюллетеней]])</f>
        <v>-13.08400000000006</v>
      </c>
      <c r="AZ122" s="10">
        <f>(Дума_одномандатный[[#This Row],[Вброс]]+Дума_одномандатный[[#This Row],[Перекладывание]])/2</f>
        <v>-11.072470914127464</v>
      </c>
    </row>
    <row r="123" spans="1:52" x14ac:dyDescent="0.4">
      <c r="A123" t="s">
        <v>49</v>
      </c>
      <c r="B123" t="s">
        <v>50</v>
      </c>
      <c r="C123" t="s">
        <v>51</v>
      </c>
      <c r="D123" t="s">
        <v>227</v>
      </c>
      <c r="E123" t="s">
        <v>251</v>
      </c>
      <c r="F123" s="1">
        <f t="shared" ca="1" si="50"/>
        <v>1981</v>
      </c>
      <c r="G123" s="8" t="str">
        <f>Дума_партии[[#This Row],[Местоположение]]</f>
        <v>Одинцово</v>
      </c>
      <c r="H123" s="2" t="str">
        <f>LEFT(Дума_одномандатный[[#This Row],[tik]],4)&amp;"."&amp;IF(ISNUMBER(VALUE(RIGHT(Дума_одномандатный[[#This Row],[tik]]))),RIGHT(Дума_одномандатный[[#This Row],[tik]]),"")</f>
        <v>Один.2</v>
      </c>
      <c r="I123">
        <v>2309</v>
      </c>
      <c r="J123" s="8">
        <f>Дума_одномандатный[[#This Row],[Число избирателей, внесенных в список избирателей на момент окончания голосования]]</f>
        <v>2309</v>
      </c>
      <c r="K123">
        <v>2000</v>
      </c>
      <c r="L123">
        <v>0</v>
      </c>
      <c r="M123">
        <v>1051</v>
      </c>
      <c r="N123">
        <v>134</v>
      </c>
      <c r="O123" s="3">
        <f t="shared" si="51"/>
        <v>51.320918146383718</v>
      </c>
      <c r="P123" s="3">
        <f t="shared" si="52"/>
        <v>5.8033780857514072</v>
      </c>
      <c r="Q123">
        <v>815</v>
      </c>
      <c r="R123">
        <v>134</v>
      </c>
      <c r="S123">
        <v>1051</v>
      </c>
      <c r="T123" s="1">
        <f t="shared" si="53"/>
        <v>1185</v>
      </c>
      <c r="U123" s="3">
        <f t="shared" si="54"/>
        <v>11.308016877637131</v>
      </c>
      <c r="V123">
        <v>0</v>
      </c>
      <c r="W123" s="3">
        <f t="shared" si="55"/>
        <v>0</v>
      </c>
      <c r="X123">
        <v>1185</v>
      </c>
      <c r="Y123">
        <v>0</v>
      </c>
      <c r="Z123">
        <v>0</v>
      </c>
      <c r="AA123">
        <v>30</v>
      </c>
      <c r="AB123" s="3">
        <f t="shared" si="56"/>
        <v>2.5316455696202533</v>
      </c>
      <c r="AC123">
        <v>56</v>
      </c>
      <c r="AD123" s="3">
        <f t="shared" si="57"/>
        <v>4.7257383966244726</v>
      </c>
      <c r="AE123">
        <v>69</v>
      </c>
      <c r="AF123" s="3">
        <f t="shared" si="58"/>
        <v>5.8227848101265822</v>
      </c>
      <c r="AG123">
        <v>582</v>
      </c>
      <c r="AH123" s="3">
        <f t="shared" si="59"/>
        <v>49.11392405063291</v>
      </c>
      <c r="AI123">
        <v>50</v>
      </c>
      <c r="AJ123" s="3">
        <f t="shared" si="60"/>
        <v>4.2194092827004219</v>
      </c>
      <c r="AK123">
        <v>51</v>
      </c>
      <c r="AL123" s="3">
        <f t="shared" si="61"/>
        <v>4.3037974683544302</v>
      </c>
      <c r="AM123">
        <v>16</v>
      </c>
      <c r="AN123" s="3">
        <f t="shared" si="62"/>
        <v>1.350210970464135</v>
      </c>
      <c r="AO123">
        <v>273</v>
      </c>
      <c r="AP123" s="3">
        <f t="shared" si="63"/>
        <v>23.037974683544302</v>
      </c>
      <c r="AQ123">
        <v>39</v>
      </c>
      <c r="AR123" s="3">
        <f t="shared" si="64"/>
        <v>3.2911392405063293</v>
      </c>
      <c r="AS123">
        <v>19</v>
      </c>
      <c r="AT123" s="3">
        <f t="shared" si="65"/>
        <v>1.6033755274261603</v>
      </c>
      <c r="AU123" t="s">
        <v>315</v>
      </c>
      <c r="AV123" s="72">
        <f>Дума_партии[[#This Row],[КОИБ]]</f>
        <v>2017</v>
      </c>
      <c r="AW123" s="1" t="str">
        <f>IF(Дума_партии[[#This Row],[Наблюдателей]]=0,"",Дума_партии[[#This Row],[Наблюдателей]])</f>
        <v/>
      </c>
      <c r="AX123"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349.81994459833788</v>
      </c>
      <c r="AY123" s="10">
        <f>2*(Дума_одномандатный[[#This Row],[Майданов Денис Васильевич]]-(AC$203/100)*Дума_одномандатный[[#This Row],[Число действительных избирательных бюллетеней]])</f>
        <v>505.14</v>
      </c>
      <c r="AZ123" s="10">
        <f>(Дума_одномандатный[[#This Row],[Вброс]]+Дума_одномандатный[[#This Row],[Перекладывание]])/2</f>
        <v>427.47997229916894</v>
      </c>
    </row>
    <row r="124" spans="1:52" x14ac:dyDescent="0.4">
      <c r="A124" t="s">
        <v>49</v>
      </c>
      <c r="B124" t="s">
        <v>50</v>
      </c>
      <c r="C124" t="s">
        <v>51</v>
      </c>
      <c r="D124" t="s">
        <v>227</v>
      </c>
      <c r="E124" t="s">
        <v>252</v>
      </c>
      <c r="F124" s="1">
        <f t="shared" ca="1" si="50"/>
        <v>1983</v>
      </c>
      <c r="G124" s="8" t="str">
        <f>Дума_партии[[#This Row],[Местоположение]]</f>
        <v>Одинцово</v>
      </c>
      <c r="H124" s="2" t="str">
        <f>LEFT(Дума_одномандатный[[#This Row],[tik]],4)&amp;"."&amp;IF(ISNUMBER(VALUE(RIGHT(Дума_одномандатный[[#This Row],[tik]]))),RIGHT(Дума_одномандатный[[#This Row],[tik]]),"")</f>
        <v>Один.2</v>
      </c>
      <c r="I124">
        <v>1997</v>
      </c>
      <c r="J124" s="8">
        <f>Дума_одномандатный[[#This Row],[Число избирателей, внесенных в список избирателей на момент окончания голосования]]</f>
        <v>1997</v>
      </c>
      <c r="K124">
        <v>1600</v>
      </c>
      <c r="L124">
        <v>0</v>
      </c>
      <c r="M124">
        <v>639</v>
      </c>
      <c r="N124">
        <v>31</v>
      </c>
      <c r="O124" s="3">
        <f t="shared" si="51"/>
        <v>33.550325488232346</v>
      </c>
      <c r="P124" s="3">
        <f t="shared" si="52"/>
        <v>1.5523284927391086</v>
      </c>
      <c r="Q124">
        <v>930</v>
      </c>
      <c r="R124">
        <v>31</v>
      </c>
      <c r="S124">
        <v>639</v>
      </c>
      <c r="T124" s="1">
        <f t="shared" si="53"/>
        <v>670</v>
      </c>
      <c r="U124" s="3">
        <f t="shared" si="54"/>
        <v>4.6268656716417906</v>
      </c>
      <c r="V124">
        <v>30</v>
      </c>
      <c r="W124" s="3">
        <f t="shared" si="55"/>
        <v>4.4776119402985071</v>
      </c>
      <c r="X124">
        <v>640</v>
      </c>
      <c r="Y124">
        <v>0</v>
      </c>
      <c r="Z124">
        <v>0</v>
      </c>
      <c r="AA124">
        <v>25</v>
      </c>
      <c r="AB124" s="3">
        <f t="shared" si="56"/>
        <v>3.7313432835820897</v>
      </c>
      <c r="AC124">
        <v>39</v>
      </c>
      <c r="AD124" s="3">
        <f t="shared" si="57"/>
        <v>5.8208955223880601</v>
      </c>
      <c r="AE124">
        <v>58</v>
      </c>
      <c r="AF124" s="3">
        <f t="shared" si="58"/>
        <v>8.656716417910447</v>
      </c>
      <c r="AG124">
        <v>238</v>
      </c>
      <c r="AH124" s="3">
        <f t="shared" si="59"/>
        <v>35.522388059701491</v>
      </c>
      <c r="AI124">
        <v>29</v>
      </c>
      <c r="AJ124" s="3">
        <f t="shared" si="60"/>
        <v>4.3283582089552235</v>
      </c>
      <c r="AK124">
        <v>31</v>
      </c>
      <c r="AL124" s="3">
        <f t="shared" si="61"/>
        <v>4.6268656716417906</v>
      </c>
      <c r="AM124">
        <v>12</v>
      </c>
      <c r="AN124" s="3">
        <f t="shared" si="62"/>
        <v>1.791044776119403</v>
      </c>
      <c r="AO124">
        <v>176</v>
      </c>
      <c r="AP124" s="3">
        <f t="shared" si="63"/>
        <v>26.268656716417912</v>
      </c>
      <c r="AQ124">
        <v>15</v>
      </c>
      <c r="AR124" s="3">
        <f t="shared" si="64"/>
        <v>2.2388059701492535</v>
      </c>
      <c r="AS124">
        <v>17</v>
      </c>
      <c r="AT124" s="3">
        <f t="shared" si="65"/>
        <v>2.5373134328358211</v>
      </c>
      <c r="AU124" t="s">
        <v>315</v>
      </c>
      <c r="AV124" s="72">
        <f>Дума_партии[[#This Row],[КОИБ]]</f>
        <v>2017</v>
      </c>
      <c r="AW124" s="1">
        <f>IF(Дума_партии[[#This Row],[Наблюдателей]]=0,"",Дума_партии[[#This Row],[Наблюдателей]])</f>
        <v>1</v>
      </c>
      <c r="AX124"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83.213296398891941</v>
      </c>
      <c r="AY124" s="10">
        <f>2*(Дума_одномандатный[[#This Row],[Майданов Денис Васильевич]]-(AC$203/100)*Дума_одномандатный[[#This Row],[Число действительных избирательных бюллетеней]])</f>
        <v>120.15999999999997</v>
      </c>
      <c r="AZ124" s="10">
        <f>(Дума_одномандатный[[#This Row],[Вброс]]+Дума_одномандатный[[#This Row],[Перекладывание]])/2</f>
        <v>101.68664819944595</v>
      </c>
    </row>
    <row r="125" spans="1:52" x14ac:dyDescent="0.4">
      <c r="A125" t="s">
        <v>49</v>
      </c>
      <c r="B125" t="s">
        <v>50</v>
      </c>
      <c r="C125" t="s">
        <v>51</v>
      </c>
      <c r="D125" t="s">
        <v>227</v>
      </c>
      <c r="E125" t="s">
        <v>253</v>
      </c>
      <c r="F125" s="1">
        <f t="shared" ca="1" si="50"/>
        <v>1985</v>
      </c>
      <c r="G125" s="8" t="str">
        <f>Дума_партии[[#This Row],[Местоположение]]</f>
        <v>Одинцово</v>
      </c>
      <c r="H125" s="2" t="str">
        <f>LEFT(Дума_одномандатный[[#This Row],[tik]],4)&amp;"."&amp;IF(ISNUMBER(VALUE(RIGHT(Дума_одномандатный[[#This Row],[tik]]))),RIGHT(Дума_одномандатный[[#This Row],[tik]]),"")</f>
        <v>Один.2</v>
      </c>
      <c r="I125">
        <v>2023</v>
      </c>
      <c r="J125" s="8">
        <f>Дума_одномандатный[[#This Row],[Число избирателей, внесенных в список избирателей на момент окончания голосования]]</f>
        <v>2023</v>
      </c>
      <c r="K125">
        <v>1800</v>
      </c>
      <c r="L125">
        <v>0</v>
      </c>
      <c r="M125">
        <v>716</v>
      </c>
      <c r="N125">
        <v>9</v>
      </c>
      <c r="O125" s="3">
        <f t="shared" si="51"/>
        <v>35.837864557587743</v>
      </c>
      <c r="P125" s="3">
        <f t="shared" si="52"/>
        <v>0.44488383588729608</v>
      </c>
      <c r="Q125">
        <v>1075</v>
      </c>
      <c r="R125">
        <v>9</v>
      </c>
      <c r="S125">
        <v>711</v>
      </c>
      <c r="T125" s="1">
        <f t="shared" si="53"/>
        <v>720</v>
      </c>
      <c r="U125" s="3">
        <f t="shared" si="54"/>
        <v>1.25</v>
      </c>
      <c r="V125">
        <v>44</v>
      </c>
      <c r="W125" s="3">
        <f t="shared" si="55"/>
        <v>6.1111111111111107</v>
      </c>
      <c r="X125">
        <v>676</v>
      </c>
      <c r="Y125">
        <v>0</v>
      </c>
      <c r="Z125">
        <v>0</v>
      </c>
      <c r="AA125">
        <v>26</v>
      </c>
      <c r="AB125" s="3">
        <f t="shared" si="56"/>
        <v>3.6111111111111112</v>
      </c>
      <c r="AC125">
        <v>38</v>
      </c>
      <c r="AD125" s="3">
        <f t="shared" si="57"/>
        <v>5.2777777777777777</v>
      </c>
      <c r="AE125">
        <v>73</v>
      </c>
      <c r="AF125" s="3">
        <f t="shared" si="58"/>
        <v>10.138888888888889</v>
      </c>
      <c r="AG125">
        <v>201</v>
      </c>
      <c r="AH125" s="3">
        <f t="shared" si="59"/>
        <v>27.916666666666668</v>
      </c>
      <c r="AI125">
        <v>48</v>
      </c>
      <c r="AJ125" s="3">
        <f t="shared" si="60"/>
        <v>6.666666666666667</v>
      </c>
      <c r="AK125">
        <v>40</v>
      </c>
      <c r="AL125" s="3">
        <f t="shared" si="61"/>
        <v>5.5555555555555554</v>
      </c>
      <c r="AM125">
        <v>16</v>
      </c>
      <c r="AN125" s="3">
        <f t="shared" si="62"/>
        <v>2.2222222222222223</v>
      </c>
      <c r="AO125">
        <v>189</v>
      </c>
      <c r="AP125" s="3">
        <f t="shared" si="63"/>
        <v>26.25</v>
      </c>
      <c r="AQ125">
        <v>24</v>
      </c>
      <c r="AR125" s="3">
        <f t="shared" si="64"/>
        <v>3.3333333333333335</v>
      </c>
      <c r="AS125">
        <v>21</v>
      </c>
      <c r="AT125" s="3">
        <f t="shared" si="65"/>
        <v>2.9166666666666665</v>
      </c>
      <c r="AU125" t="s">
        <v>315</v>
      </c>
      <c r="AV125" s="72">
        <f>Дума_партии[[#This Row],[КОИБ]]</f>
        <v>2017</v>
      </c>
      <c r="AW125" s="1" t="str">
        <f>IF(Дума_партии[[#This Row],[Наблюдателей]]=0,"",Дума_партии[[#This Row],[Наблюдателей]])</f>
        <v/>
      </c>
      <c r="AX125"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18.105263157894711</v>
      </c>
      <c r="AY125" s="10">
        <f>2*(Дума_одномандатный[[#This Row],[Майданов Денис Васильевич]]-(AC$203/100)*Дума_одномандатный[[#This Row],[Число действительных избирательных бюллетеней]])</f>
        <v>26.143999999999949</v>
      </c>
      <c r="AZ125" s="10">
        <f>(Дума_одномандатный[[#This Row],[Вброс]]+Дума_одномандатный[[#This Row],[Перекладывание]])/2</f>
        <v>22.12463157894733</v>
      </c>
    </row>
    <row r="126" spans="1:52" x14ac:dyDescent="0.4">
      <c r="A126" t="s">
        <v>49</v>
      </c>
      <c r="B126" t="s">
        <v>50</v>
      </c>
      <c r="C126" t="s">
        <v>51</v>
      </c>
      <c r="D126" t="s">
        <v>227</v>
      </c>
      <c r="E126" t="s">
        <v>254</v>
      </c>
      <c r="F126" s="1">
        <f t="shared" ca="1" si="50"/>
        <v>1987</v>
      </c>
      <c r="G126" s="8" t="str">
        <f>Дума_партии[[#This Row],[Местоположение]]</f>
        <v>Одинцово</v>
      </c>
      <c r="H126" s="2" t="str">
        <f>LEFT(Дума_одномандатный[[#This Row],[tik]],4)&amp;"."&amp;IF(ISNUMBER(VALUE(RIGHT(Дума_одномандатный[[#This Row],[tik]]))),RIGHT(Дума_одномандатный[[#This Row],[tik]]),"")</f>
        <v>Один.2</v>
      </c>
      <c r="I126">
        <v>2060</v>
      </c>
      <c r="J126" s="8">
        <f>Дума_одномандатный[[#This Row],[Число избирателей, внесенных в список избирателей на момент окончания голосования]]</f>
        <v>2060</v>
      </c>
      <c r="K126">
        <v>1500</v>
      </c>
      <c r="L126">
        <v>0</v>
      </c>
      <c r="M126">
        <v>811</v>
      </c>
      <c r="N126">
        <v>78</v>
      </c>
      <c r="O126" s="3">
        <f t="shared" si="51"/>
        <v>43.155339805825243</v>
      </c>
      <c r="P126" s="3">
        <f t="shared" si="52"/>
        <v>3.7864077669902914</v>
      </c>
      <c r="Q126">
        <v>611</v>
      </c>
      <c r="R126">
        <v>78</v>
      </c>
      <c r="S126">
        <v>733</v>
      </c>
      <c r="T126" s="1">
        <f t="shared" si="53"/>
        <v>811</v>
      </c>
      <c r="U126" s="3">
        <f t="shared" si="54"/>
        <v>9.6177558569667081</v>
      </c>
      <c r="V126">
        <v>76</v>
      </c>
      <c r="W126" s="3">
        <f t="shared" si="55"/>
        <v>9.3711467324291</v>
      </c>
      <c r="X126">
        <v>735</v>
      </c>
      <c r="Y126">
        <v>0</v>
      </c>
      <c r="Z126">
        <v>0</v>
      </c>
      <c r="AA126">
        <v>22</v>
      </c>
      <c r="AB126" s="3">
        <f t="shared" si="56"/>
        <v>2.7127003699136867</v>
      </c>
      <c r="AC126">
        <v>39</v>
      </c>
      <c r="AD126" s="3">
        <f t="shared" si="57"/>
        <v>4.808877928483354</v>
      </c>
      <c r="AE126">
        <v>71</v>
      </c>
      <c r="AF126" s="3">
        <f t="shared" si="58"/>
        <v>8.7546239210850807</v>
      </c>
      <c r="AG126">
        <v>274</v>
      </c>
      <c r="AH126" s="3">
        <f t="shared" si="59"/>
        <v>33.785450061652284</v>
      </c>
      <c r="AI126">
        <v>37</v>
      </c>
      <c r="AJ126" s="3">
        <f t="shared" si="60"/>
        <v>4.562268803945746</v>
      </c>
      <c r="AK126">
        <v>40</v>
      </c>
      <c r="AL126" s="3">
        <f t="shared" si="61"/>
        <v>4.9321824907521581</v>
      </c>
      <c r="AM126">
        <v>13</v>
      </c>
      <c r="AN126" s="3">
        <f t="shared" si="62"/>
        <v>1.6029593094944512</v>
      </c>
      <c r="AO126">
        <v>201</v>
      </c>
      <c r="AP126" s="3">
        <f t="shared" si="63"/>
        <v>24.784217016029594</v>
      </c>
      <c r="AQ126">
        <v>19</v>
      </c>
      <c r="AR126" s="3">
        <f t="shared" si="64"/>
        <v>2.342786683107275</v>
      </c>
      <c r="AS126">
        <v>19</v>
      </c>
      <c r="AT126" s="3">
        <f t="shared" si="65"/>
        <v>2.342786683107275</v>
      </c>
      <c r="AU126" t="s">
        <v>315</v>
      </c>
      <c r="AV126" s="72">
        <f>Дума_партии[[#This Row],[КОИБ]]</f>
        <v>2017</v>
      </c>
      <c r="AW126" s="1">
        <f>IF(Дума_партии[[#This Row],[Наблюдателей]]=0,"",Дума_партии[[#This Row],[Наблюдателей]])</f>
        <v>2</v>
      </c>
      <c r="AX126"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96.495844875346251</v>
      </c>
      <c r="AY126" s="10">
        <f>2*(Дума_одномандатный[[#This Row],[Майданов Денис Васильевич]]-(AC$203/100)*Дума_одномандатный[[#This Row],[Число действительных избирательных бюллетеней]])</f>
        <v>139.33999999999997</v>
      </c>
      <c r="AZ126" s="10">
        <f>(Дума_одномандатный[[#This Row],[Вброс]]+Дума_одномандатный[[#This Row],[Перекладывание]])/2</f>
        <v>117.91792243767311</v>
      </c>
    </row>
    <row r="127" spans="1:52" x14ac:dyDescent="0.4">
      <c r="A127" t="s">
        <v>49</v>
      </c>
      <c r="B127" t="s">
        <v>50</v>
      </c>
      <c r="C127" t="s">
        <v>51</v>
      </c>
      <c r="D127" t="s">
        <v>227</v>
      </c>
      <c r="E127" t="s">
        <v>255</v>
      </c>
      <c r="F127" s="1">
        <f t="shared" ca="1" si="50"/>
        <v>1989</v>
      </c>
      <c r="G127" s="8" t="str">
        <f>Дума_партии[[#This Row],[Местоположение]]</f>
        <v>Одинцово</v>
      </c>
      <c r="H127" s="2" t="str">
        <f>LEFT(Дума_одномандатный[[#This Row],[tik]],4)&amp;"."&amp;IF(ISNUMBER(VALUE(RIGHT(Дума_одномандатный[[#This Row],[tik]]))),RIGHT(Дума_одномандатный[[#This Row],[tik]]),"")</f>
        <v>Один.2</v>
      </c>
      <c r="I127">
        <v>1748</v>
      </c>
      <c r="J127" s="8">
        <f>Дума_одномандатный[[#This Row],[Число избирателей, внесенных в список избирателей на момент окончания голосования]]</f>
        <v>1748</v>
      </c>
      <c r="K127">
        <v>1500</v>
      </c>
      <c r="L127">
        <v>0</v>
      </c>
      <c r="M127">
        <v>634</v>
      </c>
      <c r="N127">
        <v>75</v>
      </c>
      <c r="O127" s="3">
        <f t="shared" si="51"/>
        <v>40.560640732265448</v>
      </c>
      <c r="P127" s="3">
        <f t="shared" si="52"/>
        <v>4.2906178489702516</v>
      </c>
      <c r="Q127">
        <v>791</v>
      </c>
      <c r="R127">
        <v>75</v>
      </c>
      <c r="S127">
        <v>634</v>
      </c>
      <c r="T127" s="1">
        <f t="shared" si="53"/>
        <v>709</v>
      </c>
      <c r="U127" s="3">
        <f t="shared" si="54"/>
        <v>10.578279266572638</v>
      </c>
      <c r="V127">
        <v>41</v>
      </c>
      <c r="W127" s="3">
        <f t="shared" si="55"/>
        <v>5.7827926657263751</v>
      </c>
      <c r="X127">
        <v>668</v>
      </c>
      <c r="Y127">
        <v>0</v>
      </c>
      <c r="Z127">
        <v>0</v>
      </c>
      <c r="AA127">
        <v>18</v>
      </c>
      <c r="AB127" s="3">
        <f t="shared" si="56"/>
        <v>2.5387870239774331</v>
      </c>
      <c r="AC127">
        <v>46</v>
      </c>
      <c r="AD127" s="3">
        <f t="shared" si="57"/>
        <v>6.488011283497884</v>
      </c>
      <c r="AE127">
        <v>61</v>
      </c>
      <c r="AF127" s="3">
        <f t="shared" si="58"/>
        <v>8.6036671368124118</v>
      </c>
      <c r="AG127">
        <v>236</v>
      </c>
      <c r="AH127" s="3">
        <f t="shared" si="59"/>
        <v>33.286318758815234</v>
      </c>
      <c r="AI127">
        <v>35</v>
      </c>
      <c r="AJ127" s="3">
        <f t="shared" si="60"/>
        <v>4.9365303244005645</v>
      </c>
      <c r="AK127">
        <v>34</v>
      </c>
      <c r="AL127" s="3">
        <f t="shared" si="61"/>
        <v>4.795486600846262</v>
      </c>
      <c r="AM127">
        <v>16</v>
      </c>
      <c r="AN127" s="3">
        <f t="shared" si="62"/>
        <v>2.2566995768688294</v>
      </c>
      <c r="AO127">
        <v>177</v>
      </c>
      <c r="AP127" s="3">
        <f t="shared" si="63"/>
        <v>24.964739069111424</v>
      </c>
      <c r="AQ127">
        <v>24</v>
      </c>
      <c r="AR127" s="3">
        <f t="shared" si="64"/>
        <v>3.3850493653032441</v>
      </c>
      <c r="AS127">
        <v>21</v>
      </c>
      <c r="AT127" s="3">
        <f t="shared" si="65"/>
        <v>2.9619181946403383</v>
      </c>
      <c r="AU127" t="s">
        <v>315</v>
      </c>
      <c r="AV127" s="72">
        <f>Дума_партии[[#This Row],[КОИБ]]</f>
        <v>2017</v>
      </c>
      <c r="AW127" s="1" t="str">
        <f>IF(Дума_партии[[#This Row],[Наблюдателей]]=0,"",Дума_партии[[#This Row],[Наблюдателей]])</f>
        <v/>
      </c>
      <c r="AX127"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69.662049861495831</v>
      </c>
      <c r="AY127" s="10">
        <f>2*(Дума_одномандатный[[#This Row],[Майданов Денис Васильевич]]-(AC$203/100)*Дума_одномандатный[[#This Row],[Число действительных избирательных бюллетеней]])</f>
        <v>100.59199999999998</v>
      </c>
      <c r="AZ127" s="10">
        <f>(Дума_одномандатный[[#This Row],[Вброс]]+Дума_одномандатный[[#This Row],[Перекладывание]])/2</f>
        <v>85.127024930747908</v>
      </c>
    </row>
    <row r="128" spans="1:52" x14ac:dyDescent="0.4">
      <c r="A128" t="s">
        <v>49</v>
      </c>
      <c r="B128" t="s">
        <v>50</v>
      </c>
      <c r="C128" t="s">
        <v>51</v>
      </c>
      <c r="D128" t="s">
        <v>227</v>
      </c>
      <c r="E128" t="s">
        <v>256</v>
      </c>
      <c r="F128" s="1">
        <f t="shared" ca="1" si="50"/>
        <v>1991</v>
      </c>
      <c r="G128" s="8" t="str">
        <f>Дума_партии[[#This Row],[Местоположение]]</f>
        <v>Одинцово</v>
      </c>
      <c r="H128" s="2" t="str">
        <f>LEFT(Дума_одномандатный[[#This Row],[tik]],4)&amp;"."&amp;IF(ISNUMBER(VALUE(RIGHT(Дума_одномандатный[[#This Row],[tik]]))),RIGHT(Дума_одномандатный[[#This Row],[tik]]),"")</f>
        <v>Один.2</v>
      </c>
      <c r="I128">
        <v>2293</v>
      </c>
      <c r="J128" s="8">
        <f>Дума_одномандатный[[#This Row],[Число избирателей, внесенных в список избирателей на момент окончания голосования]]</f>
        <v>2293</v>
      </c>
      <c r="K128">
        <v>2000</v>
      </c>
      <c r="L128">
        <v>0</v>
      </c>
      <c r="M128">
        <v>794</v>
      </c>
      <c r="N128">
        <v>33</v>
      </c>
      <c r="O128" s="3">
        <f t="shared" si="51"/>
        <v>36.066288704753596</v>
      </c>
      <c r="P128" s="3">
        <f t="shared" si="52"/>
        <v>1.439162668992586</v>
      </c>
      <c r="Q128">
        <v>1173</v>
      </c>
      <c r="R128">
        <v>33</v>
      </c>
      <c r="S128">
        <v>794</v>
      </c>
      <c r="T128" s="1">
        <f t="shared" si="53"/>
        <v>827</v>
      </c>
      <c r="U128" s="3">
        <f t="shared" si="54"/>
        <v>3.9903264812575574</v>
      </c>
      <c r="V128">
        <v>32</v>
      </c>
      <c r="W128" s="3">
        <f t="shared" si="55"/>
        <v>3.8694074969770256</v>
      </c>
      <c r="X128">
        <v>795</v>
      </c>
      <c r="Y128">
        <v>0</v>
      </c>
      <c r="Z128">
        <v>0</v>
      </c>
      <c r="AA128">
        <v>30</v>
      </c>
      <c r="AB128" s="3">
        <f t="shared" si="56"/>
        <v>3.6275695284159615</v>
      </c>
      <c r="AC128">
        <v>52</v>
      </c>
      <c r="AD128" s="3">
        <f t="shared" si="57"/>
        <v>6.2877871825876666</v>
      </c>
      <c r="AE128">
        <v>79</v>
      </c>
      <c r="AF128" s="3">
        <f t="shared" si="58"/>
        <v>9.5525997581620317</v>
      </c>
      <c r="AG128">
        <v>226</v>
      </c>
      <c r="AH128" s="3">
        <f t="shared" si="59"/>
        <v>27.327690447400244</v>
      </c>
      <c r="AI128">
        <v>42</v>
      </c>
      <c r="AJ128" s="3">
        <f t="shared" si="60"/>
        <v>5.0785973397823456</v>
      </c>
      <c r="AK128">
        <v>43</v>
      </c>
      <c r="AL128" s="3">
        <f t="shared" si="61"/>
        <v>5.1995163240628779</v>
      </c>
      <c r="AM128">
        <v>22</v>
      </c>
      <c r="AN128" s="3">
        <f t="shared" si="62"/>
        <v>2.6602176541717051</v>
      </c>
      <c r="AO128">
        <v>245</v>
      </c>
      <c r="AP128" s="3">
        <f t="shared" si="63"/>
        <v>29.62515114873035</v>
      </c>
      <c r="AQ128">
        <v>38</v>
      </c>
      <c r="AR128" s="3">
        <f t="shared" si="64"/>
        <v>4.5949214026602174</v>
      </c>
      <c r="AS128">
        <v>18</v>
      </c>
      <c r="AT128" s="3">
        <f t="shared" si="65"/>
        <v>2.1765417170495769</v>
      </c>
      <c r="AU128" t="s">
        <v>315</v>
      </c>
      <c r="AV128" s="72">
        <f>Дума_партии[[#This Row],[КОИБ]]</f>
        <v>2017</v>
      </c>
      <c r="AW128" s="1" t="str">
        <f>IF(Дума_партии[[#This Row],[Наблюдателей]]=0,"",Дума_партии[[#This Row],[Наблюдателей]])</f>
        <v/>
      </c>
      <c r="AX128"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6.9113573407202011</v>
      </c>
      <c r="AY128" s="10">
        <f>2*(Дума_одномандатный[[#This Row],[Майданов Денис Васильевич]]-(AC$203/100)*Дума_одномандатный[[#This Row],[Число действительных избирательных бюллетеней]])</f>
        <v>9.9799999999999613</v>
      </c>
      <c r="AZ128" s="10">
        <f>(Дума_одномандатный[[#This Row],[Вброс]]+Дума_одномандатный[[#This Row],[Перекладывание]])/2</f>
        <v>8.4456786703600812</v>
      </c>
    </row>
    <row r="129" spans="1:52" x14ac:dyDescent="0.4">
      <c r="A129" t="s">
        <v>49</v>
      </c>
      <c r="B129" t="s">
        <v>50</v>
      </c>
      <c r="C129" t="s">
        <v>51</v>
      </c>
      <c r="D129" t="s">
        <v>227</v>
      </c>
      <c r="E129" t="s">
        <v>257</v>
      </c>
      <c r="F129" s="1">
        <f t="shared" ca="1" si="50"/>
        <v>1993</v>
      </c>
      <c r="G129" s="8" t="str">
        <f>Дума_партии[[#This Row],[Местоположение]]</f>
        <v>Одинцово</v>
      </c>
      <c r="H129" s="2" t="str">
        <f>LEFT(Дума_одномандатный[[#This Row],[tik]],4)&amp;"."&amp;IF(ISNUMBER(VALUE(RIGHT(Дума_одномандатный[[#This Row],[tik]]))),RIGHT(Дума_одномандатный[[#This Row],[tik]]),"")</f>
        <v>Один.2</v>
      </c>
      <c r="I129">
        <v>2164</v>
      </c>
      <c r="J129" s="8">
        <f>Дума_одномандатный[[#This Row],[Число избирателей, внесенных в список избирателей на момент окончания голосования]]</f>
        <v>2164</v>
      </c>
      <c r="K129">
        <v>2000</v>
      </c>
      <c r="L129">
        <v>0</v>
      </c>
      <c r="M129">
        <v>718</v>
      </c>
      <c r="N129">
        <v>4</v>
      </c>
      <c r="O129" s="3">
        <f t="shared" si="51"/>
        <v>33.364140480591495</v>
      </c>
      <c r="P129" s="3">
        <f t="shared" si="52"/>
        <v>0.18484288354898337</v>
      </c>
      <c r="Q129">
        <v>1278</v>
      </c>
      <c r="R129">
        <v>4</v>
      </c>
      <c r="S129">
        <v>718</v>
      </c>
      <c r="T129" s="1">
        <f t="shared" si="53"/>
        <v>722</v>
      </c>
      <c r="U129" s="3">
        <f t="shared" si="54"/>
        <v>0.554016620498615</v>
      </c>
      <c r="V129">
        <v>48</v>
      </c>
      <c r="W129" s="3">
        <f t="shared" si="55"/>
        <v>6.6481994459833791</v>
      </c>
      <c r="X129">
        <v>674</v>
      </c>
      <c r="Y129">
        <v>0</v>
      </c>
      <c r="Z129">
        <v>0</v>
      </c>
      <c r="AA129">
        <v>34</v>
      </c>
      <c r="AB129" s="3">
        <f t="shared" si="56"/>
        <v>4.7091412742382275</v>
      </c>
      <c r="AC129">
        <v>45</v>
      </c>
      <c r="AD129" s="3">
        <f t="shared" si="57"/>
        <v>6.2326869806094187</v>
      </c>
      <c r="AE129">
        <v>67</v>
      </c>
      <c r="AF129" s="3">
        <f t="shared" si="58"/>
        <v>9.2797783933518012</v>
      </c>
      <c r="AG129">
        <v>191</v>
      </c>
      <c r="AH129" s="3">
        <f t="shared" si="59"/>
        <v>26.454293628808863</v>
      </c>
      <c r="AI129">
        <v>38</v>
      </c>
      <c r="AJ129" s="3">
        <f t="shared" si="60"/>
        <v>5.2631578947368425</v>
      </c>
      <c r="AK129">
        <v>37</v>
      </c>
      <c r="AL129" s="3">
        <f t="shared" si="61"/>
        <v>5.1246537396121887</v>
      </c>
      <c r="AM129">
        <v>10</v>
      </c>
      <c r="AN129" s="3">
        <f t="shared" si="62"/>
        <v>1.3850415512465375</v>
      </c>
      <c r="AO129">
        <v>210</v>
      </c>
      <c r="AP129" s="3">
        <f t="shared" si="63"/>
        <v>29.085872576177284</v>
      </c>
      <c r="AQ129">
        <v>26</v>
      </c>
      <c r="AR129" s="3">
        <f t="shared" si="64"/>
        <v>3.601108033240997</v>
      </c>
      <c r="AS129">
        <v>16</v>
      </c>
      <c r="AT129" s="3">
        <f t="shared" si="65"/>
        <v>2.21606648199446</v>
      </c>
      <c r="AU129" t="s">
        <v>315</v>
      </c>
      <c r="AV129" s="72">
        <f>Дума_партии[[#This Row],[КОИБ]]</f>
        <v>2017</v>
      </c>
      <c r="AW129" s="1" t="str">
        <f>IF(Дума_партии[[#This Row],[Наблюдателей]]=0,"",Дума_партии[[#This Row],[Наблюдателей]])</f>
        <v/>
      </c>
      <c r="AX129"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5.0249307479224115</v>
      </c>
      <c r="AY129" s="10">
        <f>2*(Дума_одномандатный[[#This Row],[Майданов Денис Васильевич]]-(AC$203/100)*Дума_одномандатный[[#This Row],[Число действительных избирательных бюллетеней]])</f>
        <v>7.2559999999999718</v>
      </c>
      <c r="AZ129" s="10">
        <f>(Дума_одномандатный[[#This Row],[Вброс]]+Дума_одномандатный[[#This Row],[Перекладывание]])/2</f>
        <v>6.1404653739611916</v>
      </c>
    </row>
    <row r="130" spans="1:52" x14ac:dyDescent="0.4">
      <c r="A130" t="s">
        <v>49</v>
      </c>
      <c r="B130" t="s">
        <v>50</v>
      </c>
      <c r="C130" t="s">
        <v>51</v>
      </c>
      <c r="D130" t="s">
        <v>227</v>
      </c>
      <c r="E130" t="s">
        <v>258</v>
      </c>
      <c r="F130" s="1">
        <f t="shared" ca="1" si="50"/>
        <v>1995</v>
      </c>
      <c r="G130" s="8" t="str">
        <f>Дума_партии[[#This Row],[Местоположение]]</f>
        <v>Одинцово</v>
      </c>
      <c r="H130" s="2" t="str">
        <f>LEFT(Дума_одномандатный[[#This Row],[tik]],4)&amp;"."&amp;IF(ISNUMBER(VALUE(RIGHT(Дума_одномандатный[[#This Row],[tik]]))),RIGHT(Дума_одномандатный[[#This Row],[tik]]),"")</f>
        <v>Один.2</v>
      </c>
      <c r="I130">
        <v>1987</v>
      </c>
      <c r="J130" s="8">
        <f>Дума_одномандатный[[#This Row],[Число избирателей, внесенных в список избирателей на момент окончания голосования]]</f>
        <v>1987</v>
      </c>
      <c r="K130">
        <v>1500</v>
      </c>
      <c r="L130">
        <v>0</v>
      </c>
      <c r="M130">
        <v>708</v>
      </c>
      <c r="N130">
        <v>4</v>
      </c>
      <c r="O130" s="3">
        <f t="shared" si="51"/>
        <v>35.832913940613992</v>
      </c>
      <c r="P130" s="3">
        <f t="shared" si="52"/>
        <v>0.20130850528434827</v>
      </c>
      <c r="Q130">
        <v>788</v>
      </c>
      <c r="R130">
        <v>4</v>
      </c>
      <c r="S130">
        <v>708</v>
      </c>
      <c r="T130" s="1">
        <f t="shared" si="53"/>
        <v>712</v>
      </c>
      <c r="U130" s="3">
        <f t="shared" si="54"/>
        <v>0.5617977528089888</v>
      </c>
      <c r="V130">
        <v>49</v>
      </c>
      <c r="W130" s="3">
        <f t="shared" si="55"/>
        <v>6.882022471910112</v>
      </c>
      <c r="X130">
        <v>663</v>
      </c>
      <c r="Y130">
        <v>0</v>
      </c>
      <c r="Z130">
        <v>0</v>
      </c>
      <c r="AA130">
        <v>38</v>
      </c>
      <c r="AB130" s="3">
        <f t="shared" si="56"/>
        <v>5.3370786516853936</v>
      </c>
      <c r="AC130">
        <v>63</v>
      </c>
      <c r="AD130" s="3">
        <f t="shared" si="57"/>
        <v>8.8483146067415728</v>
      </c>
      <c r="AE130">
        <v>53</v>
      </c>
      <c r="AF130" s="3">
        <f t="shared" si="58"/>
        <v>7.4438202247191008</v>
      </c>
      <c r="AG130">
        <v>169</v>
      </c>
      <c r="AH130" s="3">
        <f t="shared" si="59"/>
        <v>23.735955056179776</v>
      </c>
      <c r="AI130">
        <v>36</v>
      </c>
      <c r="AJ130" s="3">
        <f t="shared" si="60"/>
        <v>5.0561797752808992</v>
      </c>
      <c r="AK130">
        <v>40</v>
      </c>
      <c r="AL130" s="3">
        <f t="shared" si="61"/>
        <v>5.617977528089888</v>
      </c>
      <c r="AM130">
        <v>13</v>
      </c>
      <c r="AN130" s="3">
        <f t="shared" si="62"/>
        <v>1.8258426966292134</v>
      </c>
      <c r="AO130">
        <v>224</v>
      </c>
      <c r="AP130" s="3">
        <f t="shared" si="63"/>
        <v>31.460674157303369</v>
      </c>
      <c r="AQ130">
        <v>14</v>
      </c>
      <c r="AR130" s="3">
        <f t="shared" si="64"/>
        <v>1.9662921348314606</v>
      </c>
      <c r="AS130">
        <v>13</v>
      </c>
      <c r="AT130" s="3">
        <f t="shared" si="65"/>
        <v>1.8258426966292134</v>
      </c>
      <c r="AU130" t="s">
        <v>315</v>
      </c>
      <c r="AV130" s="72">
        <f>Дума_партии[[#This Row],[КОИБ]]</f>
        <v>2017</v>
      </c>
      <c r="AW130" s="1" t="str">
        <f>IF(Дума_партии[[#This Row],[Наблюдателей]]=0,"",Дума_партии[[#This Row],[Наблюдателей]])</f>
        <v/>
      </c>
      <c r="AX130"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-21.210526315789508</v>
      </c>
      <c r="AY130" s="10">
        <f>2*(Дума_одномандатный[[#This Row],[Майданов Денис Васильевич]]-(AC$203/100)*Дума_одномандатный[[#This Row],[Число действительных избирательных бюллетеней]])</f>
        <v>-30.628000000000043</v>
      </c>
      <c r="AZ130" s="10">
        <f>(Дума_одномандатный[[#This Row],[Вброс]]+Дума_одномандатный[[#This Row],[Перекладывание]])/2</f>
        <v>-25.919263157894775</v>
      </c>
    </row>
    <row r="131" spans="1:52" x14ac:dyDescent="0.4">
      <c r="A131" t="s">
        <v>49</v>
      </c>
      <c r="B131" t="s">
        <v>50</v>
      </c>
      <c r="C131" t="s">
        <v>51</v>
      </c>
      <c r="D131" t="s">
        <v>227</v>
      </c>
      <c r="E131" t="s">
        <v>259</v>
      </c>
      <c r="F131" s="1">
        <f t="shared" ca="1" si="50"/>
        <v>1996</v>
      </c>
      <c r="G131" s="8" t="str">
        <f>Дума_партии[[#This Row],[Местоположение]]</f>
        <v>Одинцово</v>
      </c>
      <c r="H131" s="2" t="str">
        <f>LEFT(Дума_одномандатный[[#This Row],[tik]],4)&amp;"."&amp;IF(ISNUMBER(VALUE(RIGHT(Дума_одномандатный[[#This Row],[tik]]))),RIGHT(Дума_одномандатный[[#This Row],[tik]]),"")</f>
        <v>Один.2</v>
      </c>
      <c r="I131">
        <v>1306</v>
      </c>
      <c r="J131" s="8">
        <f>Дума_одномандатный[[#This Row],[Число избирателей, внесенных в список избирателей на момент окончания голосования]]</f>
        <v>1306</v>
      </c>
      <c r="K131">
        <v>1100</v>
      </c>
      <c r="L131">
        <v>0</v>
      </c>
      <c r="M131">
        <v>533</v>
      </c>
      <c r="N131">
        <v>5</v>
      </c>
      <c r="O131" s="3">
        <f t="shared" si="51"/>
        <v>41.194486983154668</v>
      </c>
      <c r="P131" s="3">
        <f t="shared" si="52"/>
        <v>0.38284839203675347</v>
      </c>
      <c r="Q131">
        <v>562</v>
      </c>
      <c r="R131">
        <v>5</v>
      </c>
      <c r="S131">
        <v>533</v>
      </c>
      <c r="T131" s="1">
        <f t="shared" si="53"/>
        <v>538</v>
      </c>
      <c r="U131" s="3">
        <f t="shared" si="54"/>
        <v>0.92936802973977695</v>
      </c>
      <c r="V131">
        <v>27</v>
      </c>
      <c r="W131" s="3">
        <f t="shared" si="55"/>
        <v>5.0185873605947959</v>
      </c>
      <c r="X131">
        <v>511</v>
      </c>
      <c r="Y131">
        <v>0</v>
      </c>
      <c r="Z131">
        <v>0</v>
      </c>
      <c r="AA131">
        <v>24</v>
      </c>
      <c r="AB131" s="3">
        <f t="shared" si="56"/>
        <v>4.4609665427509295</v>
      </c>
      <c r="AC131">
        <v>25</v>
      </c>
      <c r="AD131" s="3">
        <f t="shared" si="57"/>
        <v>4.6468401486988844</v>
      </c>
      <c r="AE131">
        <v>51</v>
      </c>
      <c r="AF131" s="3">
        <f t="shared" si="58"/>
        <v>9.4795539033457246</v>
      </c>
      <c r="AG131">
        <v>155</v>
      </c>
      <c r="AH131" s="3">
        <f t="shared" si="59"/>
        <v>28.810408921933085</v>
      </c>
      <c r="AI131">
        <v>30</v>
      </c>
      <c r="AJ131" s="3">
        <f t="shared" si="60"/>
        <v>5.5762081784386615</v>
      </c>
      <c r="AK131">
        <v>22</v>
      </c>
      <c r="AL131" s="3">
        <f t="shared" si="61"/>
        <v>4.0892193308550189</v>
      </c>
      <c r="AM131">
        <v>9</v>
      </c>
      <c r="AN131" s="3">
        <f t="shared" si="62"/>
        <v>1.6728624535315986</v>
      </c>
      <c r="AO131">
        <v>155</v>
      </c>
      <c r="AP131" s="3">
        <f t="shared" si="63"/>
        <v>28.810408921933085</v>
      </c>
      <c r="AQ131">
        <v>22</v>
      </c>
      <c r="AR131" s="3">
        <f t="shared" si="64"/>
        <v>4.0892193308550189</v>
      </c>
      <c r="AS131">
        <v>18</v>
      </c>
      <c r="AT131" s="3">
        <f t="shared" si="65"/>
        <v>3.3457249070631971</v>
      </c>
      <c r="AU131" t="s">
        <v>315</v>
      </c>
      <c r="AV131" s="72">
        <f>Дума_партии[[#This Row],[КОИБ]]</f>
        <v>2017</v>
      </c>
      <c r="AW131" s="1">
        <f>IF(Дума_партии[[#This Row],[Наблюдателей]]=0,"",Дума_партии[[#This Row],[Наблюдателей]])</f>
        <v>1</v>
      </c>
      <c r="AX131"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17.92520775623268</v>
      </c>
      <c r="AY131" s="10">
        <f>2*(Дума_одномандатный[[#This Row],[Майданов Денис Васильевич]]-(AC$203/100)*Дума_одномандатный[[#This Row],[Число действительных избирательных бюллетеней]])</f>
        <v>25.883999999999958</v>
      </c>
      <c r="AZ131" s="10">
        <f>(Дума_одномандатный[[#This Row],[Вброс]]+Дума_одномандатный[[#This Row],[Перекладывание]])/2</f>
        <v>21.904603878116319</v>
      </c>
    </row>
    <row r="132" spans="1:52" x14ac:dyDescent="0.4">
      <c r="A132" t="s">
        <v>49</v>
      </c>
      <c r="B132" t="s">
        <v>50</v>
      </c>
      <c r="C132" t="s">
        <v>51</v>
      </c>
      <c r="D132" t="s">
        <v>227</v>
      </c>
      <c r="E132" t="s">
        <v>260</v>
      </c>
      <c r="F132" s="1">
        <f t="shared" ref="F132:F163" ca="1" si="66">SUMPRODUCT(MID(0&amp;E132, LARGE(INDEX(ISNUMBER(--MID(E132, ROW(INDIRECT("1:"&amp;LEN(E132))), 1)) * ROW(INDIRECT("1:"&amp;LEN(E132))), 0), ROW(INDIRECT("1:"&amp;LEN(E132))))+1, 1) * 10^ROW(INDIRECT("1:"&amp;LEN(E132)))/10)</f>
        <v>1997</v>
      </c>
      <c r="G132" s="8" t="str">
        <f>Дума_партии[[#This Row],[Местоположение]]</f>
        <v>Одинцово</v>
      </c>
      <c r="H132" s="2" t="str">
        <f>LEFT(Дума_одномандатный[[#This Row],[tik]],4)&amp;"."&amp;IF(ISNUMBER(VALUE(RIGHT(Дума_одномандатный[[#This Row],[tik]]))),RIGHT(Дума_одномандатный[[#This Row],[tik]]),"")</f>
        <v>Один.2</v>
      </c>
      <c r="I132">
        <v>1453</v>
      </c>
      <c r="J132" s="8">
        <f>Дума_одномандатный[[#This Row],[Число избирателей, внесенных в список избирателей на момент окончания голосования]]</f>
        <v>1453</v>
      </c>
      <c r="K132">
        <v>1100</v>
      </c>
      <c r="L132">
        <v>0</v>
      </c>
      <c r="M132">
        <v>1016</v>
      </c>
      <c r="N132">
        <v>4</v>
      </c>
      <c r="O132" s="3">
        <f t="shared" ref="O132:O163" si="67">100*(M132+N132)/I132</f>
        <v>70.199587061252586</v>
      </c>
      <c r="P132" s="3">
        <f t="shared" ref="P132:P163" si="68">100*N132/I132</f>
        <v>0.27529249827942187</v>
      </c>
      <c r="Q132">
        <v>80</v>
      </c>
      <c r="R132">
        <v>4</v>
      </c>
      <c r="S132">
        <v>420</v>
      </c>
      <c r="T132" s="1">
        <f t="shared" ref="T132:T163" si="69">R132+S132</f>
        <v>424</v>
      </c>
      <c r="U132" s="3">
        <f t="shared" ref="U132:U163" si="70">100*R132/T132</f>
        <v>0.94339622641509435</v>
      </c>
      <c r="V132">
        <v>16</v>
      </c>
      <c r="W132" s="3">
        <f t="shared" ref="W132:W163" si="71">100*V132/T132</f>
        <v>3.7735849056603774</v>
      </c>
      <c r="X132">
        <v>408</v>
      </c>
      <c r="Y132">
        <v>0</v>
      </c>
      <c r="Z132">
        <v>0</v>
      </c>
      <c r="AA132">
        <v>16</v>
      </c>
      <c r="AB132" s="3">
        <f t="shared" ref="AB132:AB163" si="72">100*AA132/$T132</f>
        <v>3.7735849056603774</v>
      </c>
      <c r="AC132">
        <v>39</v>
      </c>
      <c r="AD132" s="3">
        <f t="shared" ref="AD132:AD163" si="73">100*AC132/$T132</f>
        <v>9.1981132075471699</v>
      </c>
      <c r="AE132">
        <v>23</v>
      </c>
      <c r="AF132" s="3">
        <f t="shared" ref="AF132:AF163" si="74">100*AE132/$T132</f>
        <v>5.4245283018867925</v>
      </c>
      <c r="AG132">
        <v>90</v>
      </c>
      <c r="AH132" s="3">
        <f t="shared" ref="AH132:AH163" si="75">100*AG132/$T132</f>
        <v>21.226415094339622</v>
      </c>
      <c r="AI132">
        <v>21</v>
      </c>
      <c r="AJ132" s="3">
        <f t="shared" ref="AJ132:AJ163" si="76">100*AI132/$T132</f>
        <v>4.9528301886792452</v>
      </c>
      <c r="AK132">
        <v>20</v>
      </c>
      <c r="AL132" s="3">
        <f t="shared" ref="AL132:AL163" si="77">100*AK132/$T132</f>
        <v>4.716981132075472</v>
      </c>
      <c r="AM132">
        <v>13</v>
      </c>
      <c r="AN132" s="3">
        <f t="shared" ref="AN132:AN163" si="78">100*AM132/$T132</f>
        <v>3.0660377358490565</v>
      </c>
      <c r="AO132">
        <v>159</v>
      </c>
      <c r="AP132" s="3">
        <f t="shared" ref="AP132:AP163" si="79">100*AO132/$T132</f>
        <v>37.5</v>
      </c>
      <c r="AQ132">
        <v>15</v>
      </c>
      <c r="AR132" s="3">
        <f t="shared" ref="AR132:AR163" si="80">100*AQ132/$T132</f>
        <v>3.5377358490566038</v>
      </c>
      <c r="AS132">
        <v>12</v>
      </c>
      <c r="AT132" s="3">
        <f t="shared" ref="AT132:AT163" si="81">100*AS132/$T132</f>
        <v>2.8301886792452828</v>
      </c>
      <c r="AU132" t="s">
        <v>315</v>
      </c>
      <c r="AV132" s="72">
        <f>Дума_партии[[#This Row],[КОИБ]]</f>
        <v>2017</v>
      </c>
      <c r="AW132" s="1" t="str">
        <f>IF(Дума_партии[[#This Row],[Наблюдателей]]=0,"",Дума_партии[[#This Row],[Наблюдателей]])</f>
        <v/>
      </c>
      <c r="AX132"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-32.443213296398909</v>
      </c>
      <c r="AY132" s="10">
        <f>2*(Дума_одномандатный[[#This Row],[Майданов Денис Васильевич]]-(AC$203/100)*Дума_одномандатный[[#This Row],[Число действительных избирательных бюллетеней]])</f>
        <v>-46.848000000000013</v>
      </c>
      <c r="AZ132" s="10">
        <f>(Дума_одномандатный[[#This Row],[Вброс]]+Дума_одномандатный[[#This Row],[Перекладывание]])/2</f>
        <v>-39.645606648199461</v>
      </c>
    </row>
    <row r="133" spans="1:52" x14ac:dyDescent="0.4">
      <c r="A133" t="s">
        <v>49</v>
      </c>
      <c r="B133" t="s">
        <v>50</v>
      </c>
      <c r="C133" t="s">
        <v>51</v>
      </c>
      <c r="D133" t="s">
        <v>227</v>
      </c>
      <c r="E133" t="s">
        <v>261</v>
      </c>
      <c r="F133" s="1">
        <f t="shared" ca="1" si="66"/>
        <v>1998</v>
      </c>
      <c r="G133" s="8" t="str">
        <f>Дума_партии[[#This Row],[Местоположение]]</f>
        <v>Одинцово</v>
      </c>
      <c r="H133" s="2" t="str">
        <f>LEFT(Дума_одномандатный[[#This Row],[tik]],4)&amp;"."&amp;IF(ISNUMBER(VALUE(RIGHT(Дума_одномандатный[[#This Row],[tik]]))),RIGHT(Дума_одномандатный[[#This Row],[tik]]),"")</f>
        <v>Один.2</v>
      </c>
      <c r="I133">
        <v>1542</v>
      </c>
      <c r="J133" s="8">
        <f>Дума_одномандатный[[#This Row],[Число избирателей, внесенных в список избирателей на момент окончания голосования]]</f>
        <v>1542</v>
      </c>
      <c r="K133">
        <v>1200</v>
      </c>
      <c r="L133">
        <v>0</v>
      </c>
      <c r="M133">
        <v>492</v>
      </c>
      <c r="N133">
        <v>1</v>
      </c>
      <c r="O133" s="3">
        <f t="shared" si="67"/>
        <v>31.971465629053178</v>
      </c>
      <c r="P133" s="3">
        <f t="shared" si="68"/>
        <v>6.4850843060959798E-2</v>
      </c>
      <c r="Q133">
        <v>707</v>
      </c>
      <c r="R133">
        <v>1</v>
      </c>
      <c r="S133">
        <v>482</v>
      </c>
      <c r="T133" s="1">
        <f t="shared" si="69"/>
        <v>483</v>
      </c>
      <c r="U133" s="3">
        <f t="shared" si="70"/>
        <v>0.20703933747412009</v>
      </c>
      <c r="V133">
        <v>30</v>
      </c>
      <c r="W133" s="3">
        <f t="shared" si="71"/>
        <v>6.2111801242236027</v>
      </c>
      <c r="X133">
        <v>453</v>
      </c>
      <c r="Y133">
        <v>0</v>
      </c>
      <c r="Z133">
        <v>0</v>
      </c>
      <c r="AA133">
        <v>21</v>
      </c>
      <c r="AB133" s="3">
        <f t="shared" si="72"/>
        <v>4.3478260869565215</v>
      </c>
      <c r="AC133">
        <v>27</v>
      </c>
      <c r="AD133" s="3">
        <f t="shared" si="73"/>
        <v>5.5900621118012426</v>
      </c>
      <c r="AE133">
        <v>55</v>
      </c>
      <c r="AF133" s="3">
        <f t="shared" si="74"/>
        <v>11.387163561076605</v>
      </c>
      <c r="AG133">
        <v>96</v>
      </c>
      <c r="AH133" s="3">
        <f t="shared" si="75"/>
        <v>19.875776397515526</v>
      </c>
      <c r="AI133">
        <v>24</v>
      </c>
      <c r="AJ133" s="3">
        <f t="shared" si="76"/>
        <v>4.9689440993788816</v>
      </c>
      <c r="AK133">
        <v>35</v>
      </c>
      <c r="AL133" s="3">
        <f t="shared" si="77"/>
        <v>7.2463768115942031</v>
      </c>
      <c r="AM133">
        <v>12</v>
      </c>
      <c r="AN133" s="3">
        <f t="shared" si="78"/>
        <v>2.4844720496894408</v>
      </c>
      <c r="AO133">
        <v>162</v>
      </c>
      <c r="AP133" s="3">
        <f t="shared" si="79"/>
        <v>33.54037267080745</v>
      </c>
      <c r="AQ133">
        <v>15</v>
      </c>
      <c r="AR133" s="3">
        <f t="shared" si="80"/>
        <v>3.1055900621118013</v>
      </c>
      <c r="AS133">
        <v>6</v>
      </c>
      <c r="AT133" s="3">
        <f t="shared" si="81"/>
        <v>1.2422360248447204</v>
      </c>
      <c r="AU133" t="s">
        <v>315</v>
      </c>
      <c r="AV133" s="72">
        <f>Дума_партии[[#This Row],[КОИБ]]</f>
        <v>2017</v>
      </c>
      <c r="AW133" s="1" t="str">
        <f>IF(Дума_партии[[#This Row],[Наблюдателей]]=0,"",Дума_партии[[#This Row],[Наблюдателей]])</f>
        <v/>
      </c>
      <c r="AX133"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-41.459833795013878</v>
      </c>
      <c r="AY133" s="10">
        <f>2*(Дума_одномандатный[[#This Row],[Майданов Денис Васильевич]]-(AC$203/100)*Дума_одномандатный[[#This Row],[Число действительных избирательных бюллетеней]])</f>
        <v>-59.868000000000023</v>
      </c>
      <c r="AZ133" s="10">
        <f>(Дума_одномандатный[[#This Row],[Вброс]]+Дума_одномандатный[[#This Row],[Перекладывание]])/2</f>
        <v>-50.663916897506951</v>
      </c>
    </row>
    <row r="134" spans="1:52" x14ac:dyDescent="0.4">
      <c r="A134" t="s">
        <v>49</v>
      </c>
      <c r="B134" t="s">
        <v>50</v>
      </c>
      <c r="C134" t="s">
        <v>51</v>
      </c>
      <c r="D134" t="s">
        <v>227</v>
      </c>
      <c r="E134" t="s">
        <v>262</v>
      </c>
      <c r="F134" s="1">
        <f t="shared" ca="1" si="66"/>
        <v>1999</v>
      </c>
      <c r="G134" s="8" t="str">
        <f>Дума_партии[[#This Row],[Местоположение]]</f>
        <v>Одинцово</v>
      </c>
      <c r="H134" s="2" t="str">
        <f>LEFT(Дума_одномандатный[[#This Row],[tik]],4)&amp;"."&amp;IF(ISNUMBER(VALUE(RIGHT(Дума_одномандатный[[#This Row],[tik]]))),RIGHT(Дума_одномандатный[[#This Row],[tik]]),"")</f>
        <v>Один.2</v>
      </c>
      <c r="I134">
        <v>1472</v>
      </c>
      <c r="J134" s="8">
        <f>Дума_одномандатный[[#This Row],[Число избирателей, внесенных в список избирателей на момент окончания голосования]]</f>
        <v>1472</v>
      </c>
      <c r="K134">
        <v>1200</v>
      </c>
      <c r="L134">
        <v>0</v>
      </c>
      <c r="M134">
        <v>496</v>
      </c>
      <c r="N134">
        <v>7</v>
      </c>
      <c r="O134" s="3">
        <f t="shared" si="67"/>
        <v>34.171195652173914</v>
      </c>
      <c r="P134" s="3">
        <f t="shared" si="68"/>
        <v>0.47554347826086957</v>
      </c>
      <c r="Q134">
        <v>697</v>
      </c>
      <c r="R134">
        <v>7</v>
      </c>
      <c r="S134">
        <v>496</v>
      </c>
      <c r="T134" s="1">
        <f t="shared" si="69"/>
        <v>503</v>
      </c>
      <c r="U134" s="3">
        <f t="shared" si="70"/>
        <v>1.3916500994035785</v>
      </c>
      <c r="V134">
        <v>17</v>
      </c>
      <c r="W134" s="3">
        <f t="shared" si="71"/>
        <v>3.3797216699801194</v>
      </c>
      <c r="X134">
        <v>486</v>
      </c>
      <c r="Y134">
        <v>0</v>
      </c>
      <c r="Z134">
        <v>0</v>
      </c>
      <c r="AA134">
        <v>19</v>
      </c>
      <c r="AB134" s="3">
        <f t="shared" si="72"/>
        <v>3.7773359840954273</v>
      </c>
      <c r="AC134">
        <v>36</v>
      </c>
      <c r="AD134" s="3">
        <f t="shared" si="73"/>
        <v>7.1570576540755466</v>
      </c>
      <c r="AE134">
        <v>41</v>
      </c>
      <c r="AF134" s="3">
        <f t="shared" si="74"/>
        <v>8.1510934393638177</v>
      </c>
      <c r="AG134">
        <v>101</v>
      </c>
      <c r="AH134" s="3">
        <f t="shared" si="75"/>
        <v>20.079522862823062</v>
      </c>
      <c r="AI134">
        <v>26</v>
      </c>
      <c r="AJ134" s="3">
        <f t="shared" si="76"/>
        <v>5.1689860834990062</v>
      </c>
      <c r="AK134">
        <v>29</v>
      </c>
      <c r="AL134" s="3">
        <f t="shared" si="77"/>
        <v>5.7654075546719685</v>
      </c>
      <c r="AM134">
        <v>17</v>
      </c>
      <c r="AN134" s="3">
        <f t="shared" si="78"/>
        <v>3.3797216699801194</v>
      </c>
      <c r="AO134">
        <v>195</v>
      </c>
      <c r="AP134" s="3">
        <f t="shared" si="79"/>
        <v>38.767395626242546</v>
      </c>
      <c r="AQ134">
        <v>17</v>
      </c>
      <c r="AR134" s="3">
        <f t="shared" si="80"/>
        <v>3.3797216699801194</v>
      </c>
      <c r="AS134">
        <v>5</v>
      </c>
      <c r="AT134" s="3">
        <f t="shared" si="81"/>
        <v>0.99403578528827041</v>
      </c>
      <c r="AU134" t="s">
        <v>315</v>
      </c>
      <c r="AV134" s="72">
        <f>Дума_партии[[#This Row],[КОИБ]]</f>
        <v>2017</v>
      </c>
      <c r="AW134" s="1" t="str">
        <f>IF(Дума_партии[[#This Row],[Наблюдателей]]=0,"",Дума_партии[[#This Row],[Наблюдателей]])</f>
        <v/>
      </c>
      <c r="AX134"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-47.2409972299169</v>
      </c>
      <c r="AY134" s="10">
        <f>2*(Дума_одномандатный[[#This Row],[Майданов Денис Васильевич]]-(AC$203/100)*Дума_одномандатный[[#This Row],[Число действительных избирательных бюллетеней]])</f>
        <v>-68.216000000000008</v>
      </c>
      <c r="AZ134" s="10">
        <f>(Дума_одномандатный[[#This Row],[Вброс]]+Дума_одномандатный[[#This Row],[Перекладывание]])/2</f>
        <v>-57.728498614958454</v>
      </c>
    </row>
    <row r="135" spans="1:52" x14ac:dyDescent="0.4">
      <c r="A135" t="s">
        <v>49</v>
      </c>
      <c r="B135" t="s">
        <v>50</v>
      </c>
      <c r="C135" t="s">
        <v>51</v>
      </c>
      <c r="D135" t="s">
        <v>227</v>
      </c>
      <c r="E135" t="s">
        <v>263</v>
      </c>
      <c r="F135" s="1">
        <f t="shared" ca="1" si="66"/>
        <v>2000</v>
      </c>
      <c r="G135" s="8" t="str">
        <f>Дума_партии[[#This Row],[Местоположение]]</f>
        <v>Одинцово</v>
      </c>
      <c r="H135" s="2" t="str">
        <f>LEFT(Дума_одномандатный[[#This Row],[tik]],4)&amp;"."&amp;IF(ISNUMBER(VALUE(RIGHT(Дума_одномандатный[[#This Row],[tik]]))),RIGHT(Дума_одномандатный[[#This Row],[tik]]),"")</f>
        <v>Один.2</v>
      </c>
      <c r="I135">
        <v>1457</v>
      </c>
      <c r="J135" s="8">
        <f>Дума_одномандатный[[#This Row],[Число избирателей, внесенных в список избирателей на момент окончания голосования]]</f>
        <v>1457</v>
      </c>
      <c r="K135">
        <v>1200</v>
      </c>
      <c r="L135">
        <v>0</v>
      </c>
      <c r="M135">
        <v>481</v>
      </c>
      <c r="N135">
        <v>9</v>
      </c>
      <c r="O135" s="3">
        <f t="shared" si="67"/>
        <v>33.630748112560056</v>
      </c>
      <c r="P135" s="3">
        <f t="shared" si="68"/>
        <v>0.61770761839396016</v>
      </c>
      <c r="Q135">
        <v>710</v>
      </c>
      <c r="R135">
        <v>9</v>
      </c>
      <c r="S135">
        <v>481</v>
      </c>
      <c r="T135" s="1">
        <f t="shared" si="69"/>
        <v>490</v>
      </c>
      <c r="U135" s="3">
        <f t="shared" si="70"/>
        <v>1.8367346938775511</v>
      </c>
      <c r="V135">
        <v>21</v>
      </c>
      <c r="W135" s="3">
        <f t="shared" si="71"/>
        <v>4.2857142857142856</v>
      </c>
      <c r="X135">
        <v>469</v>
      </c>
      <c r="Y135">
        <v>0</v>
      </c>
      <c r="Z135">
        <v>0</v>
      </c>
      <c r="AA135">
        <v>14</v>
      </c>
      <c r="AB135" s="3">
        <f t="shared" si="72"/>
        <v>2.8571428571428572</v>
      </c>
      <c r="AC135">
        <v>22</v>
      </c>
      <c r="AD135" s="3">
        <f t="shared" si="73"/>
        <v>4.4897959183673466</v>
      </c>
      <c r="AE135">
        <v>38</v>
      </c>
      <c r="AF135" s="3">
        <f t="shared" si="74"/>
        <v>7.7551020408163263</v>
      </c>
      <c r="AG135">
        <v>150</v>
      </c>
      <c r="AH135" s="3">
        <f t="shared" si="75"/>
        <v>30.612244897959183</v>
      </c>
      <c r="AI135">
        <v>32</v>
      </c>
      <c r="AJ135" s="3">
        <f t="shared" si="76"/>
        <v>6.5306122448979593</v>
      </c>
      <c r="AK135">
        <v>28</v>
      </c>
      <c r="AL135" s="3">
        <f t="shared" si="77"/>
        <v>5.7142857142857144</v>
      </c>
      <c r="AM135">
        <v>8</v>
      </c>
      <c r="AN135" s="3">
        <f t="shared" si="78"/>
        <v>1.6326530612244898</v>
      </c>
      <c r="AO135">
        <v>149</v>
      </c>
      <c r="AP135" s="3">
        <f t="shared" si="79"/>
        <v>30.408163265306122</v>
      </c>
      <c r="AQ135">
        <v>20</v>
      </c>
      <c r="AR135" s="3">
        <f t="shared" si="80"/>
        <v>4.0816326530612246</v>
      </c>
      <c r="AS135">
        <v>8</v>
      </c>
      <c r="AT135" s="3">
        <f t="shared" si="81"/>
        <v>1.6326530612244898</v>
      </c>
      <c r="AU135" t="s">
        <v>315</v>
      </c>
      <c r="AV135" s="72">
        <f>Дума_партии[[#This Row],[КОИБ]]</f>
        <v>2017</v>
      </c>
      <c r="AW135" s="1" t="str">
        <f>IF(Дума_партии[[#This Row],[Наблюдателей]]=0,"",Дума_партии[[#This Row],[Наблюдателей]])</f>
        <v/>
      </c>
      <c r="AX135"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27.171745152354561</v>
      </c>
      <c r="AY135" s="10">
        <f>2*(Дума_одномандатный[[#This Row],[Майданов Денис Васильевич]]-(AC$203/100)*Дума_одномандатный[[#This Row],[Число действительных избирательных бюллетеней]])</f>
        <v>39.23599999999999</v>
      </c>
      <c r="AZ135" s="10">
        <f>(Дума_одномандатный[[#This Row],[Вброс]]+Дума_одномандатный[[#This Row],[Перекладывание]])/2</f>
        <v>33.203872576177275</v>
      </c>
    </row>
    <row r="136" spans="1:52" x14ac:dyDescent="0.4">
      <c r="A136" t="s">
        <v>49</v>
      </c>
      <c r="B136" t="s">
        <v>50</v>
      </c>
      <c r="C136" t="s">
        <v>51</v>
      </c>
      <c r="D136" t="s">
        <v>227</v>
      </c>
      <c r="E136" t="s">
        <v>264</v>
      </c>
      <c r="F136" s="1">
        <f t="shared" ca="1" si="66"/>
        <v>2001</v>
      </c>
      <c r="G136" s="8" t="str">
        <f>Дума_партии[[#This Row],[Местоположение]]</f>
        <v>Одинцово</v>
      </c>
      <c r="H136" s="2" t="str">
        <f>LEFT(Дума_одномандатный[[#This Row],[tik]],4)&amp;"."&amp;IF(ISNUMBER(VALUE(RIGHT(Дума_одномандатный[[#This Row],[tik]]))),RIGHT(Дума_одномандатный[[#This Row],[tik]]),"")</f>
        <v>Один.2</v>
      </c>
      <c r="I136">
        <v>1850</v>
      </c>
      <c r="J136" s="8">
        <f>Дума_одномандатный[[#This Row],[Число избирателей, внесенных в список избирателей на момент окончания голосования]]</f>
        <v>1850</v>
      </c>
      <c r="K136">
        <v>1500</v>
      </c>
      <c r="L136">
        <v>0</v>
      </c>
      <c r="M136">
        <v>530</v>
      </c>
      <c r="N136">
        <v>0</v>
      </c>
      <c r="O136" s="3">
        <f t="shared" si="67"/>
        <v>28.648648648648649</v>
      </c>
      <c r="P136" s="3">
        <f t="shared" si="68"/>
        <v>0</v>
      </c>
      <c r="Q136">
        <v>970</v>
      </c>
      <c r="R136">
        <v>0</v>
      </c>
      <c r="S136">
        <v>530</v>
      </c>
      <c r="T136" s="1">
        <f t="shared" si="69"/>
        <v>530</v>
      </c>
      <c r="U136" s="3">
        <f t="shared" si="70"/>
        <v>0</v>
      </c>
      <c r="V136">
        <v>19</v>
      </c>
      <c r="W136" s="3">
        <f t="shared" si="71"/>
        <v>3.5849056603773586</v>
      </c>
      <c r="X136">
        <v>511</v>
      </c>
      <c r="Y136">
        <v>0</v>
      </c>
      <c r="Z136">
        <v>0</v>
      </c>
      <c r="AA136">
        <v>23</v>
      </c>
      <c r="AB136" s="3">
        <f t="shared" si="72"/>
        <v>4.3396226415094343</v>
      </c>
      <c r="AC136">
        <v>32</v>
      </c>
      <c r="AD136" s="3">
        <f t="shared" si="73"/>
        <v>6.0377358490566042</v>
      </c>
      <c r="AE136">
        <v>51</v>
      </c>
      <c r="AF136" s="3">
        <f t="shared" si="74"/>
        <v>9.6226415094339615</v>
      </c>
      <c r="AG136">
        <v>106</v>
      </c>
      <c r="AH136" s="3">
        <f t="shared" si="75"/>
        <v>20</v>
      </c>
      <c r="AI136">
        <v>30</v>
      </c>
      <c r="AJ136" s="3">
        <f t="shared" si="76"/>
        <v>5.6603773584905657</v>
      </c>
      <c r="AK136">
        <v>36</v>
      </c>
      <c r="AL136" s="3">
        <f t="shared" si="77"/>
        <v>6.7924528301886795</v>
      </c>
      <c r="AM136">
        <v>12</v>
      </c>
      <c r="AN136" s="3">
        <f t="shared" si="78"/>
        <v>2.2641509433962264</v>
      </c>
      <c r="AO136">
        <v>198</v>
      </c>
      <c r="AP136" s="3">
        <f t="shared" si="79"/>
        <v>37.358490566037737</v>
      </c>
      <c r="AQ136">
        <v>10</v>
      </c>
      <c r="AR136" s="3">
        <f t="shared" si="80"/>
        <v>1.8867924528301887</v>
      </c>
      <c r="AS136">
        <v>13</v>
      </c>
      <c r="AT136" s="3">
        <f t="shared" si="81"/>
        <v>2.4528301886792452</v>
      </c>
      <c r="AU136" t="s">
        <v>315</v>
      </c>
      <c r="AV136" s="72">
        <f>Дума_партии[[#This Row],[КОИБ]]</f>
        <v>2017</v>
      </c>
      <c r="AW136" s="1" t="str">
        <f>IF(Дума_партии[[#This Row],[Наблюдателей]]=0,"",Дума_партии[[#This Row],[Наблюдателей]])</f>
        <v/>
      </c>
      <c r="AX136"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-49.94182825484765</v>
      </c>
      <c r="AY136" s="10">
        <f>2*(Дума_одномандатный[[#This Row],[Майданов Денис Васильевич]]-(AC$203/100)*Дума_одномандатный[[#This Row],[Число действительных избирательных бюллетеней]])</f>
        <v>-72.116000000000042</v>
      </c>
      <c r="AZ136" s="10">
        <f>(Дума_одномандатный[[#This Row],[Вброс]]+Дума_одномандатный[[#This Row],[Перекладывание]])/2</f>
        <v>-61.028914127423846</v>
      </c>
    </row>
    <row r="137" spans="1:52" x14ac:dyDescent="0.4">
      <c r="A137" t="s">
        <v>49</v>
      </c>
      <c r="B137" t="s">
        <v>50</v>
      </c>
      <c r="C137" t="s">
        <v>51</v>
      </c>
      <c r="D137" t="s">
        <v>227</v>
      </c>
      <c r="E137" t="s">
        <v>265</v>
      </c>
      <c r="F137" s="1">
        <f t="shared" ca="1" si="66"/>
        <v>2002</v>
      </c>
      <c r="G137" s="8" t="str">
        <f>Дума_партии[[#This Row],[Местоположение]]</f>
        <v>Одинцово</v>
      </c>
      <c r="H137" s="2" t="str">
        <f>LEFT(Дума_одномандатный[[#This Row],[tik]],4)&amp;"."&amp;IF(ISNUMBER(VALUE(RIGHT(Дума_одномандатный[[#This Row],[tik]]))),RIGHT(Дума_одномандатный[[#This Row],[tik]]),"")</f>
        <v>Один.2</v>
      </c>
      <c r="I137">
        <v>2112</v>
      </c>
      <c r="J137" s="8">
        <f>Дума_одномандатный[[#This Row],[Число избирателей, внесенных в список избирателей на момент окончания голосования]]</f>
        <v>2112</v>
      </c>
      <c r="K137">
        <v>2000</v>
      </c>
      <c r="L137">
        <v>0</v>
      </c>
      <c r="M137">
        <v>779</v>
      </c>
      <c r="N137">
        <v>96</v>
      </c>
      <c r="O137" s="3">
        <f t="shared" si="67"/>
        <v>41.429924242424242</v>
      </c>
      <c r="P137" s="3">
        <f t="shared" si="68"/>
        <v>4.5454545454545459</v>
      </c>
      <c r="Q137">
        <v>1125</v>
      </c>
      <c r="R137">
        <v>96</v>
      </c>
      <c r="S137">
        <v>779</v>
      </c>
      <c r="T137" s="1">
        <f t="shared" si="69"/>
        <v>875</v>
      </c>
      <c r="U137" s="3">
        <f t="shared" si="70"/>
        <v>10.971428571428572</v>
      </c>
      <c r="V137">
        <v>34</v>
      </c>
      <c r="W137" s="3">
        <f t="shared" si="71"/>
        <v>3.8857142857142857</v>
      </c>
      <c r="X137">
        <v>841</v>
      </c>
      <c r="Y137">
        <v>0</v>
      </c>
      <c r="Z137">
        <v>0</v>
      </c>
      <c r="AA137">
        <v>29</v>
      </c>
      <c r="AB137" s="3">
        <f t="shared" si="72"/>
        <v>3.3142857142857145</v>
      </c>
      <c r="AC137">
        <v>46</v>
      </c>
      <c r="AD137" s="3">
        <f t="shared" si="73"/>
        <v>5.2571428571428571</v>
      </c>
      <c r="AE137">
        <v>75</v>
      </c>
      <c r="AF137" s="3">
        <f t="shared" si="74"/>
        <v>8.5714285714285712</v>
      </c>
      <c r="AG137">
        <v>301</v>
      </c>
      <c r="AH137" s="3">
        <f t="shared" si="75"/>
        <v>34.4</v>
      </c>
      <c r="AI137">
        <v>62</v>
      </c>
      <c r="AJ137" s="3">
        <f t="shared" si="76"/>
        <v>7.0857142857142854</v>
      </c>
      <c r="AK137">
        <v>45</v>
      </c>
      <c r="AL137" s="3">
        <f t="shared" si="77"/>
        <v>5.1428571428571432</v>
      </c>
      <c r="AM137">
        <v>26</v>
      </c>
      <c r="AN137" s="3">
        <f t="shared" si="78"/>
        <v>2.9714285714285715</v>
      </c>
      <c r="AO137">
        <v>210</v>
      </c>
      <c r="AP137" s="3">
        <f t="shared" si="79"/>
        <v>24</v>
      </c>
      <c r="AQ137">
        <v>24</v>
      </c>
      <c r="AR137" s="3">
        <f t="shared" si="80"/>
        <v>2.7428571428571429</v>
      </c>
      <c r="AS137">
        <v>23</v>
      </c>
      <c r="AT137" s="3">
        <f t="shared" si="81"/>
        <v>2.6285714285714286</v>
      </c>
      <c r="AU137" t="s">
        <v>315</v>
      </c>
      <c r="AV137" s="72">
        <f>Дума_партии[[#This Row],[КОИБ]]</f>
        <v>2017</v>
      </c>
      <c r="AW137" s="1" t="str">
        <f>IF(Дума_партии[[#This Row],[Наблюдателей]]=0,"",Дума_партии[[#This Row],[Наблюдателей]])</f>
        <v/>
      </c>
      <c r="AX137"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93.077562326869781</v>
      </c>
      <c r="AY137" s="10">
        <f>2*(Дума_одномандатный[[#This Row],[Майданов Денис Васильевич]]-(AC$203/100)*Дума_одномандатный[[#This Row],[Число действительных избирательных бюллетеней]])</f>
        <v>134.40399999999994</v>
      </c>
      <c r="AZ137" s="10">
        <f>(Дума_одномандатный[[#This Row],[Вброс]]+Дума_одномандатный[[#This Row],[Перекладывание]])/2</f>
        <v>113.74078116343486</v>
      </c>
    </row>
    <row r="138" spans="1:52" x14ac:dyDescent="0.4">
      <c r="A138" t="s">
        <v>49</v>
      </c>
      <c r="B138" t="s">
        <v>50</v>
      </c>
      <c r="C138" t="s">
        <v>51</v>
      </c>
      <c r="D138" t="s">
        <v>227</v>
      </c>
      <c r="E138" t="s">
        <v>266</v>
      </c>
      <c r="F138" s="1">
        <f t="shared" ca="1" si="66"/>
        <v>2004</v>
      </c>
      <c r="G138" s="8" t="str">
        <f>Дума_партии[[#This Row],[Местоположение]]</f>
        <v>Одинцово</v>
      </c>
      <c r="H138" s="2" t="str">
        <f>LEFT(Дума_одномандатный[[#This Row],[tik]],4)&amp;"."&amp;IF(ISNUMBER(VALUE(RIGHT(Дума_одномандатный[[#This Row],[tik]]))),RIGHT(Дума_одномандатный[[#This Row],[tik]]),"")</f>
        <v>Один.2</v>
      </c>
      <c r="I138">
        <v>1035</v>
      </c>
      <c r="J138" s="8">
        <f>Дума_одномандатный[[#This Row],[Число избирателей, внесенных в список избирателей на момент окончания голосования]]</f>
        <v>1035</v>
      </c>
      <c r="K138">
        <v>900</v>
      </c>
      <c r="L138">
        <v>0</v>
      </c>
      <c r="M138">
        <v>346</v>
      </c>
      <c r="N138">
        <v>226</v>
      </c>
      <c r="O138" s="3">
        <f t="shared" si="67"/>
        <v>55.265700483091784</v>
      </c>
      <c r="P138" s="3">
        <f t="shared" si="68"/>
        <v>21.835748792270532</v>
      </c>
      <c r="Q138">
        <v>328</v>
      </c>
      <c r="R138">
        <v>226</v>
      </c>
      <c r="S138">
        <v>346</v>
      </c>
      <c r="T138" s="1">
        <f t="shared" si="69"/>
        <v>572</v>
      </c>
      <c r="U138" s="3">
        <f t="shared" si="70"/>
        <v>39.510489510489514</v>
      </c>
      <c r="V138">
        <v>18</v>
      </c>
      <c r="W138" s="3">
        <f t="shared" si="71"/>
        <v>3.1468531468531467</v>
      </c>
      <c r="X138">
        <v>554</v>
      </c>
      <c r="Y138">
        <v>0</v>
      </c>
      <c r="Z138">
        <v>0</v>
      </c>
      <c r="AA138">
        <v>16</v>
      </c>
      <c r="AB138" s="3">
        <f t="shared" si="72"/>
        <v>2.7972027972027971</v>
      </c>
      <c r="AC138">
        <v>30</v>
      </c>
      <c r="AD138" s="3">
        <f t="shared" si="73"/>
        <v>5.244755244755245</v>
      </c>
      <c r="AE138">
        <v>34</v>
      </c>
      <c r="AF138" s="3">
        <f t="shared" si="74"/>
        <v>5.9440559440559442</v>
      </c>
      <c r="AG138">
        <v>239</v>
      </c>
      <c r="AH138" s="3">
        <f t="shared" si="75"/>
        <v>41.78321678321678</v>
      </c>
      <c r="AI138">
        <v>38</v>
      </c>
      <c r="AJ138" s="3">
        <f t="shared" si="76"/>
        <v>6.6433566433566433</v>
      </c>
      <c r="AK138">
        <v>36</v>
      </c>
      <c r="AL138" s="3">
        <f t="shared" si="77"/>
        <v>6.2937062937062933</v>
      </c>
      <c r="AM138">
        <v>15</v>
      </c>
      <c r="AN138" s="3">
        <f t="shared" si="78"/>
        <v>2.6223776223776225</v>
      </c>
      <c r="AO138">
        <v>128</v>
      </c>
      <c r="AP138" s="3">
        <f t="shared" si="79"/>
        <v>22.377622377622377</v>
      </c>
      <c r="AQ138">
        <v>13</v>
      </c>
      <c r="AR138" s="3">
        <f t="shared" si="80"/>
        <v>2.2727272727272729</v>
      </c>
      <c r="AS138">
        <v>5</v>
      </c>
      <c r="AT138" s="3">
        <f t="shared" si="81"/>
        <v>0.87412587412587417</v>
      </c>
      <c r="AU138" t="s">
        <v>315</v>
      </c>
      <c r="AV138" s="72">
        <f>Дума_партии[[#This Row],[КОИБ]]</f>
        <v>2017</v>
      </c>
      <c r="AW138" s="1" t="str">
        <f>IF(Дума_партии[[#This Row],[Наблюдателей]]=0,"",Дума_партии[[#This Row],[Наблюдателей]])</f>
        <v/>
      </c>
      <c r="AX138"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117.71191135734071</v>
      </c>
      <c r="AY138" s="10">
        <f>2*(Дума_одномандатный[[#This Row],[Майданов Денис Васильевич]]-(AC$203/100)*Дума_одномандатный[[#This Row],[Число действительных избирательных бюллетеней]])</f>
        <v>169.976</v>
      </c>
      <c r="AZ138" s="10">
        <f>(Дума_одномандатный[[#This Row],[Вброс]]+Дума_одномандатный[[#This Row],[Перекладывание]])/2</f>
        <v>143.84395567867034</v>
      </c>
    </row>
    <row r="139" spans="1:52" x14ac:dyDescent="0.4">
      <c r="A139" t="s">
        <v>49</v>
      </c>
      <c r="B139" t="s">
        <v>50</v>
      </c>
      <c r="C139" t="s">
        <v>51</v>
      </c>
      <c r="D139" t="s">
        <v>227</v>
      </c>
      <c r="E139" t="s">
        <v>267</v>
      </c>
      <c r="F139" s="1">
        <f t="shared" ca="1" si="66"/>
        <v>2005</v>
      </c>
      <c r="G139" s="8" t="str">
        <f>Дума_партии[[#This Row],[Местоположение]]</f>
        <v>Одинцово</v>
      </c>
      <c r="H139" s="2" t="str">
        <f>LEFT(Дума_одномандатный[[#This Row],[tik]],4)&amp;"."&amp;IF(ISNUMBER(VALUE(RIGHT(Дума_одномандатный[[#This Row],[tik]]))),RIGHT(Дума_одномандатный[[#This Row],[tik]]),"")</f>
        <v>Один.2</v>
      </c>
      <c r="I139">
        <v>1900</v>
      </c>
      <c r="J139" s="8">
        <f>Дума_одномандатный[[#This Row],[Число избирателей, внесенных в список избирателей на момент окончания голосования]]</f>
        <v>1900</v>
      </c>
      <c r="K139">
        <v>1500</v>
      </c>
      <c r="L139">
        <v>0</v>
      </c>
      <c r="M139">
        <v>562</v>
      </c>
      <c r="N139">
        <v>401</v>
      </c>
      <c r="O139" s="3">
        <f t="shared" si="67"/>
        <v>50.684210526315788</v>
      </c>
      <c r="P139" s="3">
        <f t="shared" si="68"/>
        <v>21.105263157894736</v>
      </c>
      <c r="Q139">
        <v>537</v>
      </c>
      <c r="R139">
        <v>400</v>
      </c>
      <c r="S139">
        <v>562</v>
      </c>
      <c r="T139" s="1">
        <f t="shared" si="69"/>
        <v>962</v>
      </c>
      <c r="U139" s="3">
        <f t="shared" si="70"/>
        <v>41.580041580041581</v>
      </c>
      <c r="V139">
        <v>23</v>
      </c>
      <c r="W139" s="3">
        <f t="shared" si="71"/>
        <v>2.3908523908523907</v>
      </c>
      <c r="X139">
        <v>939</v>
      </c>
      <c r="Y139">
        <v>0</v>
      </c>
      <c r="Z139">
        <v>0</v>
      </c>
      <c r="AA139">
        <v>13</v>
      </c>
      <c r="AB139" s="3">
        <f t="shared" si="72"/>
        <v>1.3513513513513513</v>
      </c>
      <c r="AC139">
        <v>31</v>
      </c>
      <c r="AD139" s="3">
        <f t="shared" si="73"/>
        <v>3.2224532224532223</v>
      </c>
      <c r="AE139">
        <v>58</v>
      </c>
      <c r="AF139" s="3">
        <f t="shared" si="74"/>
        <v>6.0291060291060292</v>
      </c>
      <c r="AG139">
        <v>544</v>
      </c>
      <c r="AH139" s="3">
        <f t="shared" si="75"/>
        <v>56.548856548856548</v>
      </c>
      <c r="AI139">
        <v>45</v>
      </c>
      <c r="AJ139" s="3">
        <f t="shared" si="76"/>
        <v>4.6777546777546775</v>
      </c>
      <c r="AK139">
        <v>24</v>
      </c>
      <c r="AL139" s="3">
        <f t="shared" si="77"/>
        <v>2.4948024948024949</v>
      </c>
      <c r="AM139">
        <v>8</v>
      </c>
      <c r="AN139" s="3">
        <f t="shared" si="78"/>
        <v>0.83160083160083165</v>
      </c>
      <c r="AO139">
        <v>183</v>
      </c>
      <c r="AP139" s="3">
        <f t="shared" si="79"/>
        <v>19.022869022869024</v>
      </c>
      <c r="AQ139">
        <v>19</v>
      </c>
      <c r="AR139" s="3">
        <f t="shared" si="80"/>
        <v>1.9750519750519751</v>
      </c>
      <c r="AS139">
        <v>14</v>
      </c>
      <c r="AT139" s="3">
        <f t="shared" si="81"/>
        <v>1.4553014553014554</v>
      </c>
      <c r="AU139" t="s">
        <v>315</v>
      </c>
      <c r="AV139" s="72">
        <f>Дума_партии[[#This Row],[КОИБ]]</f>
        <v>2017</v>
      </c>
      <c r="AW139" s="1" t="str">
        <f>IF(Дума_партии[[#This Row],[Наблюдателей]]=0,"",Дума_партии[[#This Row],[Наблюдателей]])</f>
        <v/>
      </c>
      <c r="AX139"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391.90858725761768</v>
      </c>
      <c r="AY139" s="10">
        <f>2*(Дума_одномандатный[[#This Row],[Майданов Денис Васильевич]]-(AC$203/100)*Дума_одномандатный[[#This Row],[Число действительных избирательных бюллетеней]])</f>
        <v>565.91599999999994</v>
      </c>
      <c r="AZ139" s="10">
        <f>(Дума_одномандатный[[#This Row],[Вброс]]+Дума_одномандатный[[#This Row],[Перекладывание]])/2</f>
        <v>478.91229362880881</v>
      </c>
    </row>
    <row r="140" spans="1:52" x14ac:dyDescent="0.4">
      <c r="A140" t="s">
        <v>49</v>
      </c>
      <c r="B140" t="s">
        <v>50</v>
      </c>
      <c r="C140" t="s">
        <v>51</v>
      </c>
      <c r="D140" t="s">
        <v>227</v>
      </c>
      <c r="E140" t="s">
        <v>268</v>
      </c>
      <c r="F140" s="1">
        <f t="shared" ca="1" si="66"/>
        <v>2008</v>
      </c>
      <c r="G140" s="8" t="str">
        <f>Дума_партии[[#This Row],[Местоположение]]</f>
        <v>Одинцово</v>
      </c>
      <c r="H140" s="2" t="str">
        <f>LEFT(Дума_одномандатный[[#This Row],[tik]],4)&amp;"."&amp;IF(ISNUMBER(VALUE(RIGHT(Дума_одномандатный[[#This Row],[tik]]))),RIGHT(Дума_одномандатный[[#This Row],[tik]]),"")</f>
        <v>Один.2</v>
      </c>
      <c r="I140">
        <v>2290</v>
      </c>
      <c r="J140" s="8">
        <f>Дума_одномандатный[[#This Row],[Число избирателей, внесенных в список избирателей на момент окончания голосования]]</f>
        <v>2290</v>
      </c>
      <c r="K140">
        <v>2000</v>
      </c>
      <c r="L140">
        <v>0</v>
      </c>
      <c r="M140">
        <v>775</v>
      </c>
      <c r="N140">
        <v>59</v>
      </c>
      <c r="O140" s="3">
        <f t="shared" si="67"/>
        <v>36.419213973799124</v>
      </c>
      <c r="P140" s="3">
        <f t="shared" si="68"/>
        <v>2.5764192139737991</v>
      </c>
      <c r="Q140">
        <v>1166</v>
      </c>
      <c r="R140">
        <v>59</v>
      </c>
      <c r="S140">
        <v>745</v>
      </c>
      <c r="T140" s="1">
        <f t="shared" si="69"/>
        <v>804</v>
      </c>
      <c r="U140" s="3">
        <f t="shared" si="70"/>
        <v>7.3383084577114426</v>
      </c>
      <c r="V140">
        <v>65</v>
      </c>
      <c r="W140" s="3">
        <f t="shared" si="71"/>
        <v>8.0845771144278604</v>
      </c>
      <c r="X140">
        <v>739</v>
      </c>
      <c r="Y140">
        <v>0</v>
      </c>
      <c r="Z140">
        <v>0</v>
      </c>
      <c r="AA140">
        <v>25</v>
      </c>
      <c r="AB140" s="3">
        <f t="shared" si="72"/>
        <v>3.1094527363184081</v>
      </c>
      <c r="AC140">
        <v>47</v>
      </c>
      <c r="AD140" s="3">
        <f t="shared" si="73"/>
        <v>5.8457711442786069</v>
      </c>
      <c r="AE140">
        <v>91</v>
      </c>
      <c r="AF140" s="3">
        <f t="shared" si="74"/>
        <v>11.318407960199005</v>
      </c>
      <c r="AG140">
        <v>197</v>
      </c>
      <c r="AH140" s="3">
        <f t="shared" si="75"/>
        <v>24.502487562189053</v>
      </c>
      <c r="AI140">
        <v>39</v>
      </c>
      <c r="AJ140" s="3">
        <f t="shared" si="76"/>
        <v>4.8507462686567164</v>
      </c>
      <c r="AK140">
        <v>38</v>
      </c>
      <c r="AL140" s="3">
        <f t="shared" si="77"/>
        <v>4.7263681592039797</v>
      </c>
      <c r="AM140">
        <v>16</v>
      </c>
      <c r="AN140" s="3">
        <f t="shared" si="78"/>
        <v>1.9900497512437811</v>
      </c>
      <c r="AO140">
        <v>247</v>
      </c>
      <c r="AP140" s="3">
        <f t="shared" si="79"/>
        <v>30.721393034825869</v>
      </c>
      <c r="AQ140">
        <v>21</v>
      </c>
      <c r="AR140" s="3">
        <f t="shared" si="80"/>
        <v>2.6119402985074629</v>
      </c>
      <c r="AS140">
        <v>18</v>
      </c>
      <c r="AT140" s="3">
        <f t="shared" si="81"/>
        <v>2.2388059701492535</v>
      </c>
      <c r="AU140" t="s">
        <v>315</v>
      </c>
      <c r="AV140" s="72">
        <f>Дума_партии[[#This Row],[КОИБ]]</f>
        <v>2017</v>
      </c>
      <c r="AW140" s="1">
        <f>IF(Дума_партии[[#This Row],[Наблюдателей]]=0,"",Дума_партии[[#This Row],[Наблюдателей]])</f>
        <v>2</v>
      </c>
      <c r="AX140"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-11.692520775623279</v>
      </c>
      <c r="AY140" s="10">
        <f>2*(Дума_одномандатный[[#This Row],[Майданов Денис Васильевич]]-(AC$203/100)*Дума_одномандатный[[#This Row],[Число действительных избирательных бюллетеней]])</f>
        <v>-16.884000000000015</v>
      </c>
      <c r="AZ140" s="10">
        <f>(Дума_одномандатный[[#This Row],[Вброс]]+Дума_одномандатный[[#This Row],[Перекладывание]])/2</f>
        <v>-14.288260387811647</v>
      </c>
    </row>
    <row r="141" spans="1:52" x14ac:dyDescent="0.4">
      <c r="A141" t="s">
        <v>49</v>
      </c>
      <c r="B141" t="s">
        <v>50</v>
      </c>
      <c r="C141" t="s">
        <v>51</v>
      </c>
      <c r="D141" t="s">
        <v>227</v>
      </c>
      <c r="E141" t="s">
        <v>269</v>
      </c>
      <c r="F141" s="1">
        <f t="shared" ca="1" si="66"/>
        <v>2009</v>
      </c>
      <c r="G141" s="8" t="str">
        <f>Дума_партии[[#This Row],[Местоположение]]</f>
        <v>Одинцово</v>
      </c>
      <c r="H141" s="2" t="str">
        <f>LEFT(Дума_одномандатный[[#This Row],[tik]],4)&amp;"."&amp;IF(ISNUMBER(VALUE(RIGHT(Дума_одномандатный[[#This Row],[tik]]))),RIGHT(Дума_одномандатный[[#This Row],[tik]]),"")</f>
        <v>Один.2</v>
      </c>
      <c r="I141">
        <v>2197</v>
      </c>
      <c r="J141" s="8">
        <f>Дума_одномандатный[[#This Row],[Число избирателей, внесенных в список избирателей на момент окончания голосования]]</f>
        <v>2197</v>
      </c>
      <c r="K141">
        <v>2000</v>
      </c>
      <c r="L141">
        <v>0</v>
      </c>
      <c r="M141">
        <v>716</v>
      </c>
      <c r="N141">
        <v>33</v>
      </c>
      <c r="O141" s="3">
        <f t="shared" si="67"/>
        <v>34.091943559399184</v>
      </c>
      <c r="P141" s="3">
        <f t="shared" si="68"/>
        <v>1.5020482476103778</v>
      </c>
      <c r="Q141">
        <v>1251</v>
      </c>
      <c r="R141">
        <v>33</v>
      </c>
      <c r="S141">
        <v>714</v>
      </c>
      <c r="T141" s="1">
        <f t="shared" si="69"/>
        <v>747</v>
      </c>
      <c r="U141" s="3">
        <f t="shared" si="70"/>
        <v>4.4176706827309236</v>
      </c>
      <c r="V141">
        <v>34</v>
      </c>
      <c r="W141" s="3">
        <f t="shared" si="71"/>
        <v>4.5515394912985272</v>
      </c>
      <c r="X141">
        <v>713</v>
      </c>
      <c r="Y141">
        <v>0</v>
      </c>
      <c r="Z141">
        <v>0</v>
      </c>
      <c r="AA141">
        <v>26</v>
      </c>
      <c r="AB141" s="3">
        <f t="shared" si="72"/>
        <v>3.4805890227576977</v>
      </c>
      <c r="AC141">
        <v>47</v>
      </c>
      <c r="AD141" s="3">
        <f t="shared" si="73"/>
        <v>6.2918340026773762</v>
      </c>
      <c r="AE141">
        <v>51</v>
      </c>
      <c r="AF141" s="3">
        <f t="shared" si="74"/>
        <v>6.8273092369477908</v>
      </c>
      <c r="AG141">
        <v>202</v>
      </c>
      <c r="AH141" s="3">
        <f t="shared" si="75"/>
        <v>27.041499330655956</v>
      </c>
      <c r="AI141">
        <v>46</v>
      </c>
      <c r="AJ141" s="3">
        <f t="shared" si="76"/>
        <v>6.1579651941097726</v>
      </c>
      <c r="AK141">
        <v>44</v>
      </c>
      <c r="AL141" s="3">
        <f t="shared" si="77"/>
        <v>5.8902275769745653</v>
      </c>
      <c r="AM141">
        <v>20</v>
      </c>
      <c r="AN141" s="3">
        <f t="shared" si="78"/>
        <v>2.677376171352075</v>
      </c>
      <c r="AO141">
        <v>221</v>
      </c>
      <c r="AP141" s="3">
        <f t="shared" si="79"/>
        <v>29.585006693440427</v>
      </c>
      <c r="AQ141">
        <v>26</v>
      </c>
      <c r="AR141" s="3">
        <f t="shared" si="80"/>
        <v>3.4805890227576977</v>
      </c>
      <c r="AS141">
        <v>30</v>
      </c>
      <c r="AT141" s="3">
        <f t="shared" si="81"/>
        <v>4.0160642570281126</v>
      </c>
      <c r="AU141" t="s">
        <v>315</v>
      </c>
      <c r="AV141" s="72">
        <f>Дума_партии[[#This Row],[КОИБ]]</f>
        <v>2017</v>
      </c>
      <c r="AW141" s="1">
        <f>IF(Дума_партии[[#This Row],[Наблюдателей]]=0,"",Дума_партии[[#This Row],[Наблюдателей]])</f>
        <v>2</v>
      </c>
      <c r="AX141"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5.2437673130193616</v>
      </c>
      <c r="AY141" s="10">
        <f>2*(Дума_одномандатный[[#This Row],[Майданов Денис Васильевич]]-(AC$203/100)*Дума_одномандатный[[#This Row],[Число действительных избирательных бюллетеней]])</f>
        <v>7.5719999999999459</v>
      </c>
      <c r="AZ141" s="10">
        <f>(Дума_одномандатный[[#This Row],[Вброс]]+Дума_одномандатный[[#This Row],[Перекладывание]])/2</f>
        <v>6.4078836565096537</v>
      </c>
    </row>
    <row r="142" spans="1:52" x14ac:dyDescent="0.4">
      <c r="A142" t="s">
        <v>49</v>
      </c>
      <c r="B142" t="s">
        <v>50</v>
      </c>
      <c r="C142" t="s">
        <v>51</v>
      </c>
      <c r="D142" t="s">
        <v>227</v>
      </c>
      <c r="E142" t="s">
        <v>270</v>
      </c>
      <c r="F142" s="1">
        <f t="shared" ca="1" si="66"/>
        <v>2011</v>
      </c>
      <c r="G142" s="8" t="str">
        <f>Дума_партии[[#This Row],[Местоположение]]</f>
        <v>Одинцово</v>
      </c>
      <c r="H142" s="2" t="str">
        <f>LEFT(Дума_одномандатный[[#This Row],[tik]],4)&amp;"."&amp;IF(ISNUMBER(VALUE(RIGHT(Дума_одномандатный[[#This Row],[tik]]))),RIGHT(Дума_одномандатный[[#This Row],[tik]]),"")</f>
        <v>Один.2</v>
      </c>
      <c r="I142">
        <v>1800</v>
      </c>
      <c r="J142" s="8">
        <f>Дума_одномандатный[[#This Row],[Число избирателей, внесенных в список избирателей на момент окончания голосования]]</f>
        <v>1800</v>
      </c>
      <c r="K142">
        <v>1500</v>
      </c>
      <c r="L142">
        <v>0</v>
      </c>
      <c r="M142">
        <v>1100</v>
      </c>
      <c r="N142">
        <v>159</v>
      </c>
      <c r="O142" s="3">
        <f t="shared" si="67"/>
        <v>69.944444444444443</v>
      </c>
      <c r="P142" s="3">
        <f t="shared" si="68"/>
        <v>8.8333333333333339</v>
      </c>
      <c r="Q142">
        <v>241</v>
      </c>
      <c r="R142">
        <v>159</v>
      </c>
      <c r="S142">
        <v>1100</v>
      </c>
      <c r="T142" s="1">
        <f t="shared" si="69"/>
        <v>1259</v>
      </c>
      <c r="U142" s="3">
        <f t="shared" si="70"/>
        <v>12.629070691024623</v>
      </c>
      <c r="V142">
        <v>167</v>
      </c>
      <c r="W142" s="3">
        <f t="shared" si="71"/>
        <v>13.264495631453535</v>
      </c>
      <c r="X142">
        <v>1092</v>
      </c>
      <c r="Y142">
        <v>0</v>
      </c>
      <c r="Z142">
        <v>0</v>
      </c>
      <c r="AA142">
        <v>10</v>
      </c>
      <c r="AB142" s="3">
        <f t="shared" si="72"/>
        <v>0.79428117553613975</v>
      </c>
      <c r="AC142">
        <v>9</v>
      </c>
      <c r="AD142" s="3">
        <f t="shared" si="73"/>
        <v>0.71485305798252585</v>
      </c>
      <c r="AE142">
        <v>11</v>
      </c>
      <c r="AF142" s="3">
        <f t="shared" si="74"/>
        <v>0.87370929308975376</v>
      </c>
      <c r="AG142">
        <v>768</v>
      </c>
      <c r="AH142" s="3">
        <f t="shared" si="75"/>
        <v>61.000794281175537</v>
      </c>
      <c r="AI142">
        <v>8</v>
      </c>
      <c r="AJ142" s="3">
        <f t="shared" si="76"/>
        <v>0.63542494042891184</v>
      </c>
      <c r="AK142">
        <v>24</v>
      </c>
      <c r="AL142" s="3">
        <f t="shared" si="77"/>
        <v>1.9062748212867355</v>
      </c>
      <c r="AM142">
        <v>12</v>
      </c>
      <c r="AN142" s="3">
        <f t="shared" si="78"/>
        <v>0.95313741064336777</v>
      </c>
      <c r="AO142">
        <v>245</v>
      </c>
      <c r="AP142" s="3">
        <f t="shared" si="79"/>
        <v>19.459888800635426</v>
      </c>
      <c r="AQ142">
        <v>1</v>
      </c>
      <c r="AR142" s="3">
        <f t="shared" si="80"/>
        <v>7.9428117553613981E-2</v>
      </c>
      <c r="AS142">
        <v>4</v>
      </c>
      <c r="AT142" s="3">
        <f t="shared" si="81"/>
        <v>0.31771247021445592</v>
      </c>
      <c r="AU142" t="s">
        <v>315</v>
      </c>
      <c r="AV142" s="72">
        <f>Дума_партии[[#This Row],[КОИБ]]</f>
        <v>2017</v>
      </c>
      <c r="AW142" s="1" t="str">
        <f>IF(Дума_партии[[#This Row],[Наблюдателей]]=0,"",Дума_партии[[#This Row],[Наблюдателей]])</f>
        <v/>
      </c>
      <c r="AX142"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643.24653739612188</v>
      </c>
      <c r="AY142" s="10">
        <f>2*(Дума_одномандатный[[#This Row],[Майданов Денис Васильевич]]-(AC$203/100)*Дума_одномандатный[[#This Row],[Число действительных избирательных бюллетеней]])</f>
        <v>928.84799999999996</v>
      </c>
      <c r="AZ142" s="10">
        <f>(Дума_одномандатный[[#This Row],[Вброс]]+Дума_одномандатный[[#This Row],[Перекладывание]])/2</f>
        <v>786.04726869806086</v>
      </c>
    </row>
    <row r="143" spans="1:52" x14ac:dyDescent="0.4">
      <c r="A143" t="s">
        <v>49</v>
      </c>
      <c r="B143" t="s">
        <v>50</v>
      </c>
      <c r="C143" t="s">
        <v>51</v>
      </c>
      <c r="D143" t="s">
        <v>227</v>
      </c>
      <c r="E143" t="s">
        <v>271</v>
      </c>
      <c r="F143" s="1">
        <f t="shared" ca="1" si="66"/>
        <v>2013</v>
      </c>
      <c r="G143" s="8" t="str">
        <f>Дума_партии[[#This Row],[Местоположение]]</f>
        <v>Одинцово</v>
      </c>
      <c r="H143" s="2" t="str">
        <f>LEFT(Дума_одномандатный[[#This Row],[tik]],4)&amp;"."&amp;IF(ISNUMBER(VALUE(RIGHT(Дума_одномандатный[[#This Row],[tik]]))),RIGHT(Дума_одномандатный[[#This Row],[tik]]),"")</f>
        <v>Один.2</v>
      </c>
      <c r="I143">
        <v>2166</v>
      </c>
      <c r="J143" s="8">
        <f>Дума_одномандатный[[#This Row],[Число избирателей, внесенных в список избирателей на момент окончания голосования]]</f>
        <v>2166</v>
      </c>
      <c r="K143">
        <v>2000</v>
      </c>
      <c r="L143">
        <v>0</v>
      </c>
      <c r="M143">
        <v>681</v>
      </c>
      <c r="N143">
        <v>6</v>
      </c>
      <c r="O143" s="3">
        <f t="shared" si="67"/>
        <v>31.717451523545705</v>
      </c>
      <c r="P143" s="3">
        <f t="shared" si="68"/>
        <v>0.2770083102493075</v>
      </c>
      <c r="Q143">
        <v>1313</v>
      </c>
      <c r="R143">
        <v>6</v>
      </c>
      <c r="S143">
        <v>681</v>
      </c>
      <c r="T143" s="1">
        <f t="shared" si="69"/>
        <v>687</v>
      </c>
      <c r="U143" s="3">
        <f t="shared" si="70"/>
        <v>0.8733624454148472</v>
      </c>
      <c r="V143">
        <v>51</v>
      </c>
      <c r="W143" s="3">
        <f t="shared" si="71"/>
        <v>7.4235807860262009</v>
      </c>
      <c r="X143">
        <v>636</v>
      </c>
      <c r="Y143">
        <v>0</v>
      </c>
      <c r="Z143">
        <v>0</v>
      </c>
      <c r="AA143">
        <v>27</v>
      </c>
      <c r="AB143" s="3">
        <f t="shared" si="72"/>
        <v>3.9301310043668121</v>
      </c>
      <c r="AC143">
        <v>51</v>
      </c>
      <c r="AD143" s="3">
        <f t="shared" si="73"/>
        <v>7.4235807860262009</v>
      </c>
      <c r="AE143">
        <v>54</v>
      </c>
      <c r="AF143" s="3">
        <f t="shared" si="74"/>
        <v>7.8602620087336241</v>
      </c>
      <c r="AG143">
        <v>161</v>
      </c>
      <c r="AH143" s="3">
        <f t="shared" si="75"/>
        <v>23.435225618631733</v>
      </c>
      <c r="AI143">
        <v>51</v>
      </c>
      <c r="AJ143" s="3">
        <f t="shared" si="76"/>
        <v>7.4235807860262009</v>
      </c>
      <c r="AK143">
        <v>50</v>
      </c>
      <c r="AL143" s="3">
        <f t="shared" si="77"/>
        <v>7.2780203784570601</v>
      </c>
      <c r="AM143">
        <v>16</v>
      </c>
      <c r="AN143" s="3">
        <f t="shared" si="78"/>
        <v>2.3289665211062589</v>
      </c>
      <c r="AO143">
        <v>198</v>
      </c>
      <c r="AP143" s="3">
        <f t="shared" si="79"/>
        <v>28.820960698689955</v>
      </c>
      <c r="AQ143">
        <v>17</v>
      </c>
      <c r="AR143" s="3">
        <f t="shared" si="80"/>
        <v>2.4745269286754001</v>
      </c>
      <c r="AS143">
        <v>11</v>
      </c>
      <c r="AT143" s="3">
        <f t="shared" si="81"/>
        <v>1.6011644832605532</v>
      </c>
      <c r="AU143" t="s">
        <v>315</v>
      </c>
      <c r="AV143" s="72">
        <f>Дума_партии[[#This Row],[КОИБ]]</f>
        <v>2017</v>
      </c>
      <c r="AW143" s="1">
        <f>IF(Дума_партии[[#This Row],[Наблюдателей]]=0,"",Дума_партии[[#This Row],[Наблюдателей]])</f>
        <v>1</v>
      </c>
      <c r="AX143"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-21.894736842105289</v>
      </c>
      <c r="AY143" s="10">
        <f>2*(Дума_одномандатный[[#This Row],[Майданов Денис Васильевич]]-(AC$203/100)*Дума_одномандатный[[#This Row],[Число действительных избирательных бюллетеней]])</f>
        <v>-31.616000000000042</v>
      </c>
      <c r="AZ143" s="10">
        <f>(Дума_одномандатный[[#This Row],[Вброс]]+Дума_одномандатный[[#This Row],[Перекладывание]])/2</f>
        <v>-26.755368421052665</v>
      </c>
    </row>
    <row r="144" spans="1:52" x14ac:dyDescent="0.4">
      <c r="A144" t="s">
        <v>49</v>
      </c>
      <c r="B144" t="s">
        <v>50</v>
      </c>
      <c r="C144" t="s">
        <v>51</v>
      </c>
      <c r="D144" t="s">
        <v>227</v>
      </c>
      <c r="E144" t="s">
        <v>272</v>
      </c>
      <c r="F144" s="1">
        <f t="shared" ca="1" si="66"/>
        <v>2015</v>
      </c>
      <c r="G144" s="8" t="str">
        <f>Дума_партии[[#This Row],[Местоположение]]</f>
        <v>Одинцово</v>
      </c>
      <c r="H144" s="2" t="str">
        <f>LEFT(Дума_одномандатный[[#This Row],[tik]],4)&amp;"."&amp;IF(ISNUMBER(VALUE(RIGHT(Дума_одномандатный[[#This Row],[tik]]))),RIGHT(Дума_одномандатный[[#This Row],[tik]]),"")</f>
        <v>Один.2</v>
      </c>
      <c r="I144">
        <v>2054</v>
      </c>
      <c r="J144" s="8">
        <f>Дума_одномандатный[[#This Row],[Число избирателей, внесенных в список избирателей на момент окончания голосования]]</f>
        <v>2054</v>
      </c>
      <c r="K144">
        <v>2000</v>
      </c>
      <c r="L144">
        <v>0</v>
      </c>
      <c r="M144">
        <v>785</v>
      </c>
      <c r="N144">
        <v>42</v>
      </c>
      <c r="O144" s="3">
        <f t="shared" si="67"/>
        <v>40.26290165530672</v>
      </c>
      <c r="P144" s="3">
        <f t="shared" si="68"/>
        <v>2.044790652385589</v>
      </c>
      <c r="Q144">
        <v>1173</v>
      </c>
      <c r="R144">
        <v>38</v>
      </c>
      <c r="S144">
        <v>780</v>
      </c>
      <c r="T144" s="1">
        <f t="shared" si="69"/>
        <v>818</v>
      </c>
      <c r="U144" s="3">
        <f t="shared" si="70"/>
        <v>4.6454767726161368</v>
      </c>
      <c r="V144">
        <v>34</v>
      </c>
      <c r="W144" s="3">
        <f t="shared" si="71"/>
        <v>4.1564792176039118</v>
      </c>
      <c r="X144">
        <v>784</v>
      </c>
      <c r="Y144">
        <v>0</v>
      </c>
      <c r="Z144">
        <v>0</v>
      </c>
      <c r="AA144">
        <v>23</v>
      </c>
      <c r="AB144" s="3">
        <f t="shared" si="72"/>
        <v>2.8117359413202934</v>
      </c>
      <c r="AC144">
        <v>38</v>
      </c>
      <c r="AD144" s="3">
        <f t="shared" si="73"/>
        <v>4.6454767726161368</v>
      </c>
      <c r="AE144">
        <v>61</v>
      </c>
      <c r="AF144" s="3">
        <f t="shared" si="74"/>
        <v>7.4572127139364301</v>
      </c>
      <c r="AG144">
        <v>233</v>
      </c>
      <c r="AH144" s="3">
        <f t="shared" si="75"/>
        <v>28.484107579462101</v>
      </c>
      <c r="AI144">
        <v>60</v>
      </c>
      <c r="AJ144" s="3">
        <f t="shared" si="76"/>
        <v>7.3349633251833737</v>
      </c>
      <c r="AK144">
        <v>41</v>
      </c>
      <c r="AL144" s="3">
        <f t="shared" si="77"/>
        <v>5.0122249388753053</v>
      </c>
      <c r="AM144">
        <v>11</v>
      </c>
      <c r="AN144" s="3">
        <f t="shared" si="78"/>
        <v>1.3447432762836187</v>
      </c>
      <c r="AO144">
        <v>271</v>
      </c>
      <c r="AP144" s="3">
        <f t="shared" si="79"/>
        <v>33.12958435207824</v>
      </c>
      <c r="AQ144">
        <v>25</v>
      </c>
      <c r="AR144" s="3">
        <f t="shared" si="80"/>
        <v>3.0562347188264058</v>
      </c>
      <c r="AS144">
        <v>21</v>
      </c>
      <c r="AT144" s="3">
        <f t="shared" si="81"/>
        <v>2.5672371638141809</v>
      </c>
      <c r="AU144" t="s">
        <v>315</v>
      </c>
      <c r="AV144" s="72">
        <f>Дума_партии[[#This Row],[КОИБ]]</f>
        <v>2017</v>
      </c>
      <c r="AW144" s="1" t="str">
        <f>IF(Дума_партии[[#This Row],[Наблюдателей]]=0,"",Дума_партии[[#This Row],[Наблюдателей]])</f>
        <v/>
      </c>
      <c r="AX144"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20.842105263157862</v>
      </c>
      <c r="AY144" s="10">
        <f>2*(Дума_одномандатный[[#This Row],[Майданов Денис Васильевич]]-(AC$203/100)*Дума_одномандатный[[#This Row],[Число действительных избирательных бюллетеней]])</f>
        <v>30.095999999999947</v>
      </c>
      <c r="AZ144" s="10">
        <f>(Дума_одномандатный[[#This Row],[Вброс]]+Дума_одномандатный[[#This Row],[Перекладывание]])/2</f>
        <v>25.469052631578904</v>
      </c>
    </row>
    <row r="145" spans="1:52" x14ac:dyDescent="0.4">
      <c r="A145" t="s">
        <v>49</v>
      </c>
      <c r="B145" t="s">
        <v>50</v>
      </c>
      <c r="C145" t="s">
        <v>51</v>
      </c>
      <c r="D145" t="s">
        <v>227</v>
      </c>
      <c r="E145" t="s">
        <v>273</v>
      </c>
      <c r="F145" s="1">
        <f t="shared" ca="1" si="66"/>
        <v>2017</v>
      </c>
      <c r="G145" s="8" t="str">
        <f>Дума_партии[[#This Row],[Местоположение]]</f>
        <v>Одинцово</v>
      </c>
      <c r="H145" s="2" t="str">
        <f>LEFT(Дума_одномандатный[[#This Row],[tik]],4)&amp;"."&amp;IF(ISNUMBER(VALUE(RIGHT(Дума_одномандатный[[#This Row],[tik]]))),RIGHT(Дума_одномандатный[[#This Row],[tik]]),"")</f>
        <v>Один.2</v>
      </c>
      <c r="I145">
        <v>2109</v>
      </c>
      <c r="J145" s="8">
        <f>Дума_одномандатный[[#This Row],[Число избирателей, внесенных в список избирателей на момент окончания голосования]]</f>
        <v>2109</v>
      </c>
      <c r="K145">
        <v>1600</v>
      </c>
      <c r="L145">
        <v>0</v>
      </c>
      <c r="M145">
        <v>723</v>
      </c>
      <c r="N145">
        <v>43</v>
      </c>
      <c r="O145" s="3">
        <f t="shared" si="67"/>
        <v>36.320531057373159</v>
      </c>
      <c r="P145" s="3">
        <f t="shared" si="68"/>
        <v>2.0388809862494073</v>
      </c>
      <c r="Q145">
        <v>834</v>
      </c>
      <c r="R145">
        <v>43</v>
      </c>
      <c r="S145">
        <v>723</v>
      </c>
      <c r="T145" s="1">
        <f t="shared" si="69"/>
        <v>766</v>
      </c>
      <c r="U145" s="3">
        <f t="shared" si="70"/>
        <v>5.6135770234986948</v>
      </c>
      <c r="V145">
        <v>41</v>
      </c>
      <c r="W145" s="3">
        <f t="shared" si="71"/>
        <v>5.3524804177545695</v>
      </c>
      <c r="X145">
        <v>725</v>
      </c>
      <c r="Y145">
        <v>0</v>
      </c>
      <c r="Z145">
        <v>0</v>
      </c>
      <c r="AA145">
        <v>25</v>
      </c>
      <c r="AB145" s="3">
        <f t="shared" si="72"/>
        <v>3.2637075718015667</v>
      </c>
      <c r="AC145">
        <v>34</v>
      </c>
      <c r="AD145" s="3">
        <f t="shared" si="73"/>
        <v>4.438642297650131</v>
      </c>
      <c r="AE145">
        <v>57</v>
      </c>
      <c r="AF145" s="3">
        <f t="shared" si="74"/>
        <v>7.4412532637075719</v>
      </c>
      <c r="AG145">
        <v>240</v>
      </c>
      <c r="AH145" s="3">
        <f t="shared" si="75"/>
        <v>31.331592689295039</v>
      </c>
      <c r="AI145">
        <v>52</v>
      </c>
      <c r="AJ145" s="3">
        <f t="shared" si="76"/>
        <v>6.7885117493472587</v>
      </c>
      <c r="AK145">
        <v>36</v>
      </c>
      <c r="AL145" s="3">
        <f t="shared" si="77"/>
        <v>4.6997389033942563</v>
      </c>
      <c r="AM145">
        <v>8</v>
      </c>
      <c r="AN145" s="3">
        <f t="shared" si="78"/>
        <v>1.0443864229765014</v>
      </c>
      <c r="AO145">
        <v>236</v>
      </c>
      <c r="AP145" s="3">
        <f t="shared" si="79"/>
        <v>30.809399477806789</v>
      </c>
      <c r="AQ145">
        <v>26</v>
      </c>
      <c r="AR145" s="3">
        <f t="shared" si="80"/>
        <v>3.3942558746736293</v>
      </c>
      <c r="AS145">
        <v>11</v>
      </c>
      <c r="AT145" s="3">
        <f t="shared" si="81"/>
        <v>1.4360313315926894</v>
      </c>
      <c r="AU145" t="s">
        <v>315</v>
      </c>
      <c r="AV145" s="72">
        <f>Дума_партии[[#This Row],[КОИБ]]</f>
        <v>2017</v>
      </c>
      <c r="AW145" s="1" t="str">
        <f>IF(Дума_партии[[#This Row],[Наблюдателей]]=0,"",Дума_партии[[#This Row],[Наблюдателей]])</f>
        <v/>
      </c>
      <c r="AX145"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53.254847645429351</v>
      </c>
      <c r="AY145" s="10">
        <f>2*(Дума_одномандатный[[#This Row],[Майданов Денис Васильевич]]-(AC$203/100)*Дума_одномандатный[[#This Row],[Число действительных избирательных бюллетеней]])</f>
        <v>76.899999999999977</v>
      </c>
      <c r="AZ145" s="10">
        <f>(Дума_одномандатный[[#This Row],[Вброс]]+Дума_одномандатный[[#This Row],[Перекладывание]])/2</f>
        <v>65.077423822714664</v>
      </c>
    </row>
    <row r="146" spans="1:52" x14ac:dyDescent="0.4">
      <c r="A146" t="s">
        <v>49</v>
      </c>
      <c r="B146" t="s">
        <v>50</v>
      </c>
      <c r="C146" t="s">
        <v>51</v>
      </c>
      <c r="D146" t="s">
        <v>227</v>
      </c>
      <c r="E146" t="s">
        <v>274</v>
      </c>
      <c r="F146" s="1">
        <f t="shared" ca="1" si="66"/>
        <v>2019</v>
      </c>
      <c r="G146" s="8" t="str">
        <f>Дума_партии[[#This Row],[Местоположение]]</f>
        <v>Одинцово</v>
      </c>
      <c r="H146" s="2" t="str">
        <f>LEFT(Дума_одномандатный[[#This Row],[tik]],4)&amp;"."&amp;IF(ISNUMBER(VALUE(RIGHT(Дума_одномандатный[[#This Row],[tik]]))),RIGHT(Дума_одномандатный[[#This Row],[tik]]),"")</f>
        <v>Один.2</v>
      </c>
      <c r="I146">
        <v>1256</v>
      </c>
      <c r="J146" s="8">
        <f>Дума_одномандатный[[#This Row],[Число избирателей, внесенных в список избирателей на момент окончания голосования]]</f>
        <v>1256</v>
      </c>
      <c r="K146">
        <v>1000</v>
      </c>
      <c r="L146">
        <v>0</v>
      </c>
      <c r="M146">
        <v>383</v>
      </c>
      <c r="N146">
        <v>3</v>
      </c>
      <c r="O146" s="3">
        <f t="shared" si="67"/>
        <v>30.732484076433121</v>
      </c>
      <c r="P146" s="3">
        <f t="shared" si="68"/>
        <v>0.23885350318471338</v>
      </c>
      <c r="Q146">
        <v>614</v>
      </c>
      <c r="R146">
        <v>3</v>
      </c>
      <c r="S146">
        <v>383</v>
      </c>
      <c r="T146" s="1">
        <f t="shared" si="69"/>
        <v>386</v>
      </c>
      <c r="U146" s="3">
        <f t="shared" si="70"/>
        <v>0.77720207253886009</v>
      </c>
      <c r="V146">
        <v>20</v>
      </c>
      <c r="W146" s="3">
        <f t="shared" si="71"/>
        <v>5.1813471502590671</v>
      </c>
      <c r="X146">
        <v>366</v>
      </c>
      <c r="Y146">
        <v>0</v>
      </c>
      <c r="Z146">
        <v>0</v>
      </c>
      <c r="AA146">
        <v>12</v>
      </c>
      <c r="AB146" s="3">
        <f t="shared" si="72"/>
        <v>3.1088082901554404</v>
      </c>
      <c r="AC146">
        <v>19</v>
      </c>
      <c r="AD146" s="3">
        <f t="shared" si="73"/>
        <v>4.9222797927461137</v>
      </c>
      <c r="AE146">
        <v>28</v>
      </c>
      <c r="AF146" s="3">
        <f t="shared" si="74"/>
        <v>7.2538860103626943</v>
      </c>
      <c r="AG146">
        <v>87</v>
      </c>
      <c r="AH146" s="3">
        <f t="shared" si="75"/>
        <v>22.538860103626941</v>
      </c>
      <c r="AI146">
        <v>28</v>
      </c>
      <c r="AJ146" s="3">
        <f t="shared" si="76"/>
        <v>7.2538860103626943</v>
      </c>
      <c r="AK146">
        <v>22</v>
      </c>
      <c r="AL146" s="3">
        <f t="shared" si="77"/>
        <v>5.6994818652849739</v>
      </c>
      <c r="AM146">
        <v>8</v>
      </c>
      <c r="AN146" s="3">
        <f t="shared" si="78"/>
        <v>2.0725388601036268</v>
      </c>
      <c r="AO146">
        <v>139</v>
      </c>
      <c r="AP146" s="3">
        <f t="shared" si="79"/>
        <v>36.010362694300518</v>
      </c>
      <c r="AQ146">
        <v>14</v>
      </c>
      <c r="AR146" s="3">
        <f t="shared" si="80"/>
        <v>3.6269430051813472</v>
      </c>
      <c r="AS146">
        <v>9</v>
      </c>
      <c r="AT146" s="3">
        <f t="shared" si="81"/>
        <v>2.3316062176165802</v>
      </c>
      <c r="AU146" t="s">
        <v>315</v>
      </c>
      <c r="AV146" s="72">
        <f>Дума_партии[[#This Row],[КОИБ]]</f>
        <v>2017</v>
      </c>
      <c r="AW146" s="1">
        <f>IF(Дума_партии[[#This Row],[Наблюдателей]]=0,"",Дума_партии[[#This Row],[Наблюдателей]])</f>
        <v>1</v>
      </c>
      <c r="AX146"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-20.42659279778394</v>
      </c>
      <c r="AY146" s="10">
        <f>2*(Дума_одномандатный[[#This Row],[Майданов Денис Васильевич]]-(AC$203/100)*Дума_одномандатный[[#This Row],[Число действительных избирательных бюллетеней]])</f>
        <v>-29.496000000000009</v>
      </c>
      <c r="AZ146" s="10">
        <f>(Дума_одномандатный[[#This Row],[Вброс]]+Дума_одномандатный[[#This Row],[Перекладывание]])/2</f>
        <v>-24.961296398891974</v>
      </c>
    </row>
    <row r="147" spans="1:52" x14ac:dyDescent="0.4">
      <c r="A147" t="s">
        <v>49</v>
      </c>
      <c r="B147" t="s">
        <v>50</v>
      </c>
      <c r="C147" t="s">
        <v>51</v>
      </c>
      <c r="D147" t="s">
        <v>227</v>
      </c>
      <c r="E147" t="s">
        <v>275</v>
      </c>
      <c r="F147" s="1">
        <f t="shared" ca="1" si="66"/>
        <v>2020</v>
      </c>
      <c r="G147" s="8" t="str">
        <f>Дума_партии[[#This Row],[Местоположение]]</f>
        <v>Одинцово</v>
      </c>
      <c r="H147" s="2" t="str">
        <f>LEFT(Дума_одномандатный[[#This Row],[tik]],4)&amp;"."&amp;IF(ISNUMBER(VALUE(RIGHT(Дума_одномандатный[[#This Row],[tik]]))),RIGHT(Дума_одномандатный[[#This Row],[tik]]),"")</f>
        <v>Один.2</v>
      </c>
      <c r="I147">
        <v>1272</v>
      </c>
      <c r="J147" s="8">
        <f>Дума_одномандатный[[#This Row],[Число избирателей, внесенных в список избирателей на момент окончания голосования]]</f>
        <v>1272</v>
      </c>
      <c r="K147">
        <v>981</v>
      </c>
      <c r="L147">
        <v>0</v>
      </c>
      <c r="M147">
        <v>462</v>
      </c>
      <c r="N147">
        <v>7</v>
      </c>
      <c r="O147" s="3">
        <f t="shared" si="67"/>
        <v>36.871069182389938</v>
      </c>
      <c r="P147" s="3">
        <f t="shared" si="68"/>
        <v>0.55031446540880502</v>
      </c>
      <c r="Q147">
        <v>512</v>
      </c>
      <c r="R147">
        <v>7</v>
      </c>
      <c r="S147">
        <v>462</v>
      </c>
      <c r="T147" s="1">
        <f t="shared" si="69"/>
        <v>469</v>
      </c>
      <c r="U147" s="3">
        <f t="shared" si="70"/>
        <v>1.4925373134328359</v>
      </c>
      <c r="V147">
        <v>21</v>
      </c>
      <c r="W147" s="3">
        <f t="shared" si="71"/>
        <v>4.4776119402985071</v>
      </c>
      <c r="X147">
        <v>448</v>
      </c>
      <c r="Y147">
        <v>0</v>
      </c>
      <c r="Z147">
        <v>0</v>
      </c>
      <c r="AA147">
        <v>19</v>
      </c>
      <c r="AB147" s="3">
        <f t="shared" si="72"/>
        <v>4.0511727078891262</v>
      </c>
      <c r="AC147">
        <v>35</v>
      </c>
      <c r="AD147" s="3">
        <f t="shared" si="73"/>
        <v>7.4626865671641793</v>
      </c>
      <c r="AE147">
        <v>40</v>
      </c>
      <c r="AF147" s="3">
        <f t="shared" si="74"/>
        <v>8.5287846481876333</v>
      </c>
      <c r="AG147">
        <v>126</v>
      </c>
      <c r="AH147" s="3">
        <f t="shared" si="75"/>
        <v>26.865671641791046</v>
      </c>
      <c r="AI147">
        <v>25</v>
      </c>
      <c r="AJ147" s="3">
        <f t="shared" si="76"/>
        <v>5.3304904051172706</v>
      </c>
      <c r="AK147">
        <v>27</v>
      </c>
      <c r="AL147" s="3">
        <f t="shared" si="77"/>
        <v>5.7569296375266523</v>
      </c>
      <c r="AM147">
        <v>19</v>
      </c>
      <c r="AN147" s="3">
        <f t="shared" si="78"/>
        <v>4.0511727078891262</v>
      </c>
      <c r="AO147">
        <v>127</v>
      </c>
      <c r="AP147" s="3">
        <f t="shared" si="79"/>
        <v>27.078891257995735</v>
      </c>
      <c r="AQ147">
        <v>11</v>
      </c>
      <c r="AR147" s="3">
        <f t="shared" si="80"/>
        <v>2.3454157782515992</v>
      </c>
      <c r="AS147">
        <v>19</v>
      </c>
      <c r="AT147" s="3">
        <f t="shared" si="81"/>
        <v>4.0511727078891262</v>
      </c>
      <c r="AU147" t="s">
        <v>315</v>
      </c>
      <c r="AV147" s="72">
        <f>Дума_партии[[#This Row],[КОИБ]]</f>
        <v>2017</v>
      </c>
      <c r="AW147" s="1" t="str">
        <f>IF(Дума_партии[[#This Row],[Наблюдателей]]=0,"",Дума_партии[[#This Row],[Наблюдателей]])</f>
        <v/>
      </c>
      <c r="AX147"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2.016620498614941</v>
      </c>
      <c r="AY147" s="10">
        <f>2*(Дума_одномандатный[[#This Row],[Майданов Денис Васильевич]]-(AC$203/100)*Дума_одномандатный[[#This Row],[Число действительных избирательных бюллетеней]])</f>
        <v>2.9119999999999777</v>
      </c>
      <c r="AZ147" s="10">
        <f>(Дума_одномандатный[[#This Row],[Вброс]]+Дума_одномандатный[[#This Row],[Перекладывание]])/2</f>
        <v>2.4643102493074593</v>
      </c>
    </row>
    <row r="148" spans="1:52" x14ac:dyDescent="0.4">
      <c r="A148" t="s">
        <v>49</v>
      </c>
      <c r="B148" t="s">
        <v>50</v>
      </c>
      <c r="C148" t="s">
        <v>51</v>
      </c>
      <c r="D148" t="s">
        <v>227</v>
      </c>
      <c r="E148" t="s">
        <v>276</v>
      </c>
      <c r="F148" s="1">
        <f t="shared" ca="1" si="66"/>
        <v>2021</v>
      </c>
      <c r="G148" s="8" t="str">
        <f>Дума_партии[[#This Row],[Местоположение]]</f>
        <v>Одинцово</v>
      </c>
      <c r="H148" s="2" t="str">
        <f>LEFT(Дума_одномандатный[[#This Row],[tik]],4)&amp;"."&amp;IF(ISNUMBER(VALUE(RIGHT(Дума_одномандатный[[#This Row],[tik]]))),RIGHT(Дума_одномандатный[[#This Row],[tik]]),"")</f>
        <v>Один.2</v>
      </c>
      <c r="I148">
        <v>1023</v>
      </c>
      <c r="J148" s="8">
        <f>Дума_одномандатный[[#This Row],[Число избирателей, внесенных в список избирателей на момент окончания голосования]]</f>
        <v>1023</v>
      </c>
      <c r="K148">
        <v>800</v>
      </c>
      <c r="L148">
        <v>0</v>
      </c>
      <c r="M148">
        <v>353</v>
      </c>
      <c r="N148">
        <v>8</v>
      </c>
      <c r="O148" s="3">
        <f t="shared" si="67"/>
        <v>35.288367546432063</v>
      </c>
      <c r="P148" s="3">
        <f t="shared" si="68"/>
        <v>0.78201368523949166</v>
      </c>
      <c r="Q148">
        <v>439</v>
      </c>
      <c r="R148">
        <v>8</v>
      </c>
      <c r="S148">
        <v>353</v>
      </c>
      <c r="T148" s="1">
        <f t="shared" si="69"/>
        <v>361</v>
      </c>
      <c r="U148" s="3">
        <f t="shared" si="70"/>
        <v>2.21606648199446</v>
      </c>
      <c r="V148">
        <v>137</v>
      </c>
      <c r="W148" s="3">
        <f t="shared" si="71"/>
        <v>37.950138504155127</v>
      </c>
      <c r="X148">
        <v>224</v>
      </c>
      <c r="Y148">
        <v>0</v>
      </c>
      <c r="Z148">
        <v>0</v>
      </c>
      <c r="AA148">
        <v>8</v>
      </c>
      <c r="AB148" s="3">
        <f t="shared" si="72"/>
        <v>2.21606648199446</v>
      </c>
      <c r="AC148">
        <v>13</v>
      </c>
      <c r="AD148" s="3">
        <f t="shared" si="73"/>
        <v>3.601108033240997</v>
      </c>
      <c r="AE148">
        <v>27</v>
      </c>
      <c r="AF148" s="3">
        <f t="shared" si="74"/>
        <v>7.4792243767313016</v>
      </c>
      <c r="AG148">
        <v>62</v>
      </c>
      <c r="AH148" s="3">
        <f t="shared" si="75"/>
        <v>17.174515235457065</v>
      </c>
      <c r="AI148">
        <v>18</v>
      </c>
      <c r="AJ148" s="3">
        <f t="shared" si="76"/>
        <v>4.986149584487535</v>
      </c>
      <c r="AK148">
        <v>21</v>
      </c>
      <c r="AL148" s="3">
        <f t="shared" si="77"/>
        <v>5.8171745152354575</v>
      </c>
      <c r="AM148">
        <v>5</v>
      </c>
      <c r="AN148" s="3">
        <f t="shared" si="78"/>
        <v>1.3850415512465375</v>
      </c>
      <c r="AO148">
        <v>59</v>
      </c>
      <c r="AP148" s="3">
        <f t="shared" si="79"/>
        <v>16.343490304709142</v>
      </c>
      <c r="AQ148">
        <v>10</v>
      </c>
      <c r="AR148" s="3">
        <f t="shared" si="80"/>
        <v>2.770083102493075</v>
      </c>
      <c r="AS148">
        <v>1</v>
      </c>
      <c r="AT148" s="3">
        <f t="shared" si="81"/>
        <v>0.2770083102493075</v>
      </c>
      <c r="AU148" t="s">
        <v>315</v>
      </c>
      <c r="AV148" s="72">
        <f>Дума_партии[[#This Row],[КОИБ]]</f>
        <v>2017</v>
      </c>
      <c r="AW148" s="1">
        <f>IF(Дума_партии[[#This Row],[Наблюдателей]]=0,"",Дума_партии[[#This Row],[Наблюдателей]])</f>
        <v>2</v>
      </c>
      <c r="AX148"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-0.37673130193906701</v>
      </c>
      <c r="AY148" s="10">
        <f>2*(Дума_одномандатный[[#This Row],[Майданов Денис Васильевич]]-(AC$203/100)*Дума_одномандатный[[#This Row],[Число действительных избирательных бюллетеней]])</f>
        <v>-0.54400000000001114</v>
      </c>
      <c r="AZ148" s="10">
        <f>(Дума_одномандатный[[#This Row],[Вброс]]+Дума_одномандатный[[#This Row],[Перекладывание]])/2</f>
        <v>-0.46036565096953908</v>
      </c>
    </row>
    <row r="149" spans="1:52" x14ac:dyDescent="0.4">
      <c r="A149" t="s">
        <v>49</v>
      </c>
      <c r="B149" t="s">
        <v>50</v>
      </c>
      <c r="C149" t="s">
        <v>51</v>
      </c>
      <c r="D149" t="s">
        <v>227</v>
      </c>
      <c r="E149" t="s">
        <v>277</v>
      </c>
      <c r="F149" s="1">
        <f t="shared" ca="1" si="66"/>
        <v>2022</v>
      </c>
      <c r="G149" s="8" t="str">
        <f>Дума_партии[[#This Row],[Местоположение]]</f>
        <v>Одинцово</v>
      </c>
      <c r="H149" s="2" t="str">
        <f>LEFT(Дума_одномандатный[[#This Row],[tik]],4)&amp;"."&amp;IF(ISNUMBER(VALUE(RIGHT(Дума_одномандатный[[#This Row],[tik]]))),RIGHT(Дума_одномандатный[[#This Row],[tik]]),"")</f>
        <v>Один.2</v>
      </c>
      <c r="I149">
        <v>1911</v>
      </c>
      <c r="J149" s="8">
        <f>Дума_одномандатный[[#This Row],[Число избирателей, внесенных в список избирателей на момент окончания голосования]]</f>
        <v>1911</v>
      </c>
      <c r="K149">
        <v>1500</v>
      </c>
      <c r="L149">
        <v>0</v>
      </c>
      <c r="M149">
        <v>616</v>
      </c>
      <c r="N149">
        <v>39</v>
      </c>
      <c r="O149" s="3">
        <f t="shared" si="67"/>
        <v>34.275248560962844</v>
      </c>
      <c r="P149" s="3">
        <f t="shared" si="68"/>
        <v>2.0408163265306123</v>
      </c>
      <c r="Q149">
        <v>845</v>
      </c>
      <c r="R149">
        <v>39</v>
      </c>
      <c r="S149">
        <v>616</v>
      </c>
      <c r="T149" s="1">
        <f t="shared" si="69"/>
        <v>655</v>
      </c>
      <c r="U149" s="3">
        <f t="shared" si="70"/>
        <v>5.9541984732824424</v>
      </c>
      <c r="V149">
        <v>24</v>
      </c>
      <c r="W149" s="3">
        <f t="shared" si="71"/>
        <v>3.66412213740458</v>
      </c>
      <c r="X149">
        <v>631</v>
      </c>
      <c r="Y149">
        <v>0</v>
      </c>
      <c r="Z149">
        <v>0</v>
      </c>
      <c r="AA149">
        <v>23</v>
      </c>
      <c r="AB149" s="3">
        <f t="shared" si="72"/>
        <v>3.5114503816793894</v>
      </c>
      <c r="AC149">
        <v>39</v>
      </c>
      <c r="AD149" s="3">
        <f t="shared" si="73"/>
        <v>5.9541984732824424</v>
      </c>
      <c r="AE149">
        <v>55</v>
      </c>
      <c r="AF149" s="3">
        <f t="shared" si="74"/>
        <v>8.3969465648854964</v>
      </c>
      <c r="AG149">
        <v>172</v>
      </c>
      <c r="AH149" s="3">
        <f t="shared" si="75"/>
        <v>26.259541984732824</v>
      </c>
      <c r="AI149">
        <v>46</v>
      </c>
      <c r="AJ149" s="3">
        <f t="shared" si="76"/>
        <v>7.0229007633587788</v>
      </c>
      <c r="AK149">
        <v>47</v>
      </c>
      <c r="AL149" s="3">
        <f t="shared" si="77"/>
        <v>7.1755725190839694</v>
      </c>
      <c r="AM149">
        <v>17</v>
      </c>
      <c r="AN149" s="3">
        <f t="shared" si="78"/>
        <v>2.5954198473282442</v>
      </c>
      <c r="AO149">
        <v>196</v>
      </c>
      <c r="AP149" s="3">
        <f t="shared" si="79"/>
        <v>29.923664122137403</v>
      </c>
      <c r="AQ149">
        <v>22</v>
      </c>
      <c r="AR149" s="3">
        <f t="shared" si="80"/>
        <v>3.3587786259541983</v>
      </c>
      <c r="AS149">
        <v>14</v>
      </c>
      <c r="AT149" s="3">
        <f t="shared" si="81"/>
        <v>2.1374045801526718</v>
      </c>
      <c r="AU149" t="s">
        <v>315</v>
      </c>
      <c r="AV149" s="72">
        <f>Дума_партии[[#This Row],[КОИБ]]</f>
        <v>2017</v>
      </c>
      <c r="AW149" s="1" t="str">
        <f>IF(Дума_партии[[#This Row],[Наблюдателей]]=0,"",Дума_партии[[#This Row],[Наблюдателей]])</f>
        <v/>
      </c>
      <c r="AX149"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-4.7340720221606887</v>
      </c>
      <c r="AY149" s="10">
        <f>2*(Дума_одномандатный[[#This Row],[Майданов Денис Васильевич]]-(AC$203/100)*Дума_одномандатный[[#This Row],[Число действительных избирательных бюллетеней]])</f>
        <v>-6.8360000000000127</v>
      </c>
      <c r="AZ149" s="10">
        <f>(Дума_одномандатный[[#This Row],[Вброс]]+Дума_одномандатный[[#This Row],[Перекладывание]])/2</f>
        <v>-5.7850360110803507</v>
      </c>
    </row>
    <row r="150" spans="1:52" x14ac:dyDescent="0.4">
      <c r="A150" t="s">
        <v>49</v>
      </c>
      <c r="B150" t="s">
        <v>50</v>
      </c>
      <c r="C150" t="s">
        <v>51</v>
      </c>
      <c r="D150" t="s">
        <v>227</v>
      </c>
      <c r="E150" t="s">
        <v>278</v>
      </c>
      <c r="F150" s="1">
        <f t="shared" ca="1" si="66"/>
        <v>2024</v>
      </c>
      <c r="G150" s="8" t="str">
        <f>Дума_партии[[#This Row],[Местоположение]]</f>
        <v>Одинцово</v>
      </c>
      <c r="H150" s="2" t="str">
        <f>LEFT(Дума_одномандатный[[#This Row],[tik]],4)&amp;"."&amp;IF(ISNUMBER(VALUE(RIGHT(Дума_одномандатный[[#This Row],[tik]]))),RIGHT(Дума_одномандатный[[#This Row],[tik]]),"")</f>
        <v>Один.2</v>
      </c>
      <c r="I150">
        <v>2337</v>
      </c>
      <c r="J150" s="8">
        <f>Дума_одномандатный[[#This Row],[Число избирателей, внесенных в список избирателей на момент окончания голосования]]</f>
        <v>2337</v>
      </c>
      <c r="K150">
        <v>1800</v>
      </c>
      <c r="L150">
        <v>0</v>
      </c>
      <c r="M150">
        <v>853</v>
      </c>
      <c r="N150">
        <v>38</v>
      </c>
      <c r="O150" s="3">
        <f t="shared" si="67"/>
        <v>38.125802310654684</v>
      </c>
      <c r="P150" s="3">
        <f t="shared" si="68"/>
        <v>1.6260162601626016</v>
      </c>
      <c r="Q150">
        <v>909</v>
      </c>
      <c r="R150">
        <v>38</v>
      </c>
      <c r="S150">
        <v>849</v>
      </c>
      <c r="T150" s="1">
        <f t="shared" si="69"/>
        <v>887</v>
      </c>
      <c r="U150" s="3">
        <f t="shared" si="70"/>
        <v>4.2841037204058621</v>
      </c>
      <c r="V150">
        <v>35</v>
      </c>
      <c r="W150" s="3">
        <f t="shared" si="71"/>
        <v>3.9458850056369785</v>
      </c>
      <c r="X150">
        <v>852</v>
      </c>
      <c r="Y150">
        <v>0</v>
      </c>
      <c r="Z150">
        <v>0</v>
      </c>
      <c r="AA150">
        <v>28</v>
      </c>
      <c r="AB150" s="3">
        <f t="shared" si="72"/>
        <v>3.156708004509583</v>
      </c>
      <c r="AC150">
        <v>44</v>
      </c>
      <c r="AD150" s="3">
        <f t="shared" si="73"/>
        <v>4.96054114994363</v>
      </c>
      <c r="AE150">
        <v>72</v>
      </c>
      <c r="AF150" s="3">
        <f t="shared" si="74"/>
        <v>8.1172491544532139</v>
      </c>
      <c r="AG150">
        <v>272</v>
      </c>
      <c r="AH150" s="3">
        <f t="shared" si="75"/>
        <v>30.665163472378804</v>
      </c>
      <c r="AI150">
        <v>53</v>
      </c>
      <c r="AJ150" s="3">
        <f t="shared" si="76"/>
        <v>5.9751972942502816</v>
      </c>
      <c r="AK150">
        <v>56</v>
      </c>
      <c r="AL150" s="3">
        <f t="shared" si="77"/>
        <v>6.313416009019166</v>
      </c>
      <c r="AM150">
        <v>24</v>
      </c>
      <c r="AN150" s="3">
        <f t="shared" si="78"/>
        <v>2.705749718151071</v>
      </c>
      <c r="AO150">
        <v>243</v>
      </c>
      <c r="AP150" s="3">
        <f t="shared" si="79"/>
        <v>27.395715896279594</v>
      </c>
      <c r="AQ150">
        <v>35</v>
      </c>
      <c r="AR150" s="3">
        <f t="shared" si="80"/>
        <v>3.9458850056369785</v>
      </c>
      <c r="AS150">
        <v>25</v>
      </c>
      <c r="AT150" s="3">
        <f t="shared" si="81"/>
        <v>2.818489289740699</v>
      </c>
      <c r="AU150" t="s">
        <v>315</v>
      </c>
      <c r="AV150" s="72">
        <f>Дума_партии[[#This Row],[КОИБ]]</f>
        <v>2017</v>
      </c>
      <c r="AW150" s="1">
        <f>IF(Дума_партии[[#This Row],[Наблюдателей]]=0,"",Дума_партии[[#This Row],[Наблюдателей]])</f>
        <v>1</v>
      </c>
      <c r="AX150"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48.675900277008282</v>
      </c>
      <c r="AY150" s="10">
        <f>2*(Дума_одномандатный[[#This Row],[Майданов Денис Васильевич]]-(AC$203/100)*Дума_одномандатный[[#This Row],[Число действительных избирательных бюллетеней]])</f>
        <v>70.287999999999954</v>
      </c>
      <c r="AZ150" s="10">
        <f>(Дума_одномандатный[[#This Row],[Вброс]]+Дума_одномандатный[[#This Row],[Перекладывание]])/2</f>
        <v>59.481950138504118</v>
      </c>
    </row>
    <row r="151" spans="1:52" x14ac:dyDescent="0.4">
      <c r="A151" t="s">
        <v>49</v>
      </c>
      <c r="B151" t="s">
        <v>50</v>
      </c>
      <c r="C151" t="s">
        <v>51</v>
      </c>
      <c r="D151" t="s">
        <v>227</v>
      </c>
      <c r="E151" t="s">
        <v>279</v>
      </c>
      <c r="F151" s="1">
        <f t="shared" ca="1" si="66"/>
        <v>2025</v>
      </c>
      <c r="G151" s="8" t="str">
        <f>Дума_партии[[#This Row],[Местоположение]]</f>
        <v>Одинцово</v>
      </c>
      <c r="H151" s="2" t="str">
        <f>LEFT(Дума_одномандатный[[#This Row],[tik]],4)&amp;"."&amp;IF(ISNUMBER(VALUE(RIGHT(Дума_одномандатный[[#This Row],[tik]]))),RIGHT(Дума_одномандатный[[#This Row],[tik]]),"")</f>
        <v>Один.2</v>
      </c>
      <c r="I151">
        <v>2210</v>
      </c>
      <c r="J151" s="8">
        <f>Дума_одномандатный[[#This Row],[Число избирателей, внесенных в список избирателей на момент окончания голосования]]</f>
        <v>2210</v>
      </c>
      <c r="K151">
        <v>1800</v>
      </c>
      <c r="L151">
        <v>0</v>
      </c>
      <c r="M151">
        <v>774</v>
      </c>
      <c r="N151">
        <v>117</v>
      </c>
      <c r="O151" s="3">
        <f t="shared" si="67"/>
        <v>40.316742081447963</v>
      </c>
      <c r="P151" s="3">
        <f t="shared" si="68"/>
        <v>5.2941176470588234</v>
      </c>
      <c r="Q151">
        <v>909</v>
      </c>
      <c r="R151">
        <v>117</v>
      </c>
      <c r="S151">
        <v>774</v>
      </c>
      <c r="T151" s="1">
        <f t="shared" si="69"/>
        <v>891</v>
      </c>
      <c r="U151" s="3">
        <f t="shared" si="70"/>
        <v>13.131313131313131</v>
      </c>
      <c r="V151">
        <v>36</v>
      </c>
      <c r="W151" s="3">
        <f t="shared" si="71"/>
        <v>4.0404040404040407</v>
      </c>
      <c r="X151">
        <v>855</v>
      </c>
      <c r="Y151">
        <v>0</v>
      </c>
      <c r="Z151">
        <v>0</v>
      </c>
      <c r="AA151">
        <v>27</v>
      </c>
      <c r="AB151" s="3">
        <f t="shared" si="72"/>
        <v>3.0303030303030303</v>
      </c>
      <c r="AC151">
        <v>42</v>
      </c>
      <c r="AD151" s="3">
        <f t="shared" si="73"/>
        <v>4.7138047138047137</v>
      </c>
      <c r="AE151">
        <v>76</v>
      </c>
      <c r="AF151" s="3">
        <f t="shared" si="74"/>
        <v>8.5297418630751967</v>
      </c>
      <c r="AG151">
        <v>276</v>
      </c>
      <c r="AH151" s="3">
        <f t="shared" si="75"/>
        <v>30.976430976430976</v>
      </c>
      <c r="AI151">
        <v>49</v>
      </c>
      <c r="AJ151" s="3">
        <f t="shared" si="76"/>
        <v>5.4994388327721664</v>
      </c>
      <c r="AK151">
        <v>44</v>
      </c>
      <c r="AL151" s="3">
        <f t="shared" si="77"/>
        <v>4.9382716049382713</v>
      </c>
      <c r="AM151">
        <v>24</v>
      </c>
      <c r="AN151" s="3">
        <f t="shared" si="78"/>
        <v>2.6936026936026938</v>
      </c>
      <c r="AO151">
        <v>273</v>
      </c>
      <c r="AP151" s="3">
        <f t="shared" si="79"/>
        <v>30.63973063973064</v>
      </c>
      <c r="AQ151">
        <v>22</v>
      </c>
      <c r="AR151" s="3">
        <f t="shared" si="80"/>
        <v>2.4691358024691357</v>
      </c>
      <c r="AS151">
        <v>22</v>
      </c>
      <c r="AT151" s="3">
        <f t="shared" si="81"/>
        <v>2.4691358024691357</v>
      </c>
      <c r="AU151" t="s">
        <v>315</v>
      </c>
      <c r="AV151" s="72">
        <f>Дума_партии[[#This Row],[КОИБ]]</f>
        <v>2017</v>
      </c>
      <c r="AW151" s="1" t="str">
        <f>IF(Дума_партии[[#This Row],[Наблюдателей]]=0,"",Дума_партии[[#This Row],[Наблюдателей]])</f>
        <v/>
      </c>
      <c r="AX151"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53.060941828254812</v>
      </c>
      <c r="AY151" s="10">
        <f>2*(Дума_одномандатный[[#This Row],[Майданов Денис Васильевич]]-(AC$203/100)*Дума_одномандатный[[#This Row],[Число действительных избирательных бюллетеней]])</f>
        <v>76.619999999999948</v>
      </c>
      <c r="AZ151" s="10">
        <f>(Дума_одномандатный[[#This Row],[Вброс]]+Дума_одномандатный[[#This Row],[Перекладывание]])/2</f>
        <v>64.84047091412738</v>
      </c>
    </row>
    <row r="152" spans="1:52" x14ac:dyDescent="0.4">
      <c r="A152" t="s">
        <v>49</v>
      </c>
      <c r="B152" t="s">
        <v>50</v>
      </c>
      <c r="C152" t="s">
        <v>51</v>
      </c>
      <c r="D152" t="s">
        <v>227</v>
      </c>
      <c r="E152" t="s">
        <v>280</v>
      </c>
      <c r="F152" s="1">
        <f t="shared" ca="1" si="66"/>
        <v>2026</v>
      </c>
      <c r="G152" s="8" t="str">
        <f>Дума_партии[[#This Row],[Местоположение]]</f>
        <v>Одинцово</v>
      </c>
      <c r="H152" s="2" t="str">
        <f>LEFT(Дума_одномандатный[[#This Row],[tik]],4)&amp;"."&amp;IF(ISNUMBER(VALUE(RIGHT(Дума_одномандатный[[#This Row],[tik]]))),RIGHT(Дума_одномандатный[[#This Row],[tik]]),"")</f>
        <v>Один.2</v>
      </c>
      <c r="I152">
        <v>2642</v>
      </c>
      <c r="J152" s="8">
        <f>Дума_одномандатный[[#This Row],[Число избирателей, внесенных в список избирателей на момент окончания голосования]]</f>
        <v>2642</v>
      </c>
      <c r="K152">
        <v>2000</v>
      </c>
      <c r="L152">
        <v>0</v>
      </c>
      <c r="M152">
        <v>719</v>
      </c>
      <c r="N152">
        <v>22</v>
      </c>
      <c r="O152" s="3">
        <f t="shared" si="67"/>
        <v>28.046934140802421</v>
      </c>
      <c r="P152" s="3">
        <f t="shared" si="68"/>
        <v>0.8327024981074943</v>
      </c>
      <c r="Q152">
        <v>1259</v>
      </c>
      <c r="R152">
        <v>22</v>
      </c>
      <c r="S152">
        <v>719</v>
      </c>
      <c r="T152" s="1">
        <f t="shared" si="69"/>
        <v>741</v>
      </c>
      <c r="U152" s="3">
        <f t="shared" si="70"/>
        <v>2.9689608636977058</v>
      </c>
      <c r="V152">
        <v>23</v>
      </c>
      <c r="W152" s="3">
        <f t="shared" si="71"/>
        <v>3.1039136302294197</v>
      </c>
      <c r="X152">
        <v>718</v>
      </c>
      <c r="Y152">
        <v>0</v>
      </c>
      <c r="Z152">
        <v>0</v>
      </c>
      <c r="AA152">
        <v>28</v>
      </c>
      <c r="AB152" s="3">
        <f t="shared" si="72"/>
        <v>3.7786774628879893</v>
      </c>
      <c r="AC152">
        <v>57</v>
      </c>
      <c r="AD152" s="3">
        <f t="shared" si="73"/>
        <v>7.6923076923076925</v>
      </c>
      <c r="AE152">
        <v>54</v>
      </c>
      <c r="AF152" s="3">
        <f t="shared" si="74"/>
        <v>7.287449392712551</v>
      </c>
      <c r="AG152">
        <v>218</v>
      </c>
      <c r="AH152" s="3">
        <f t="shared" si="75"/>
        <v>29.41970310391363</v>
      </c>
      <c r="AI152">
        <v>34</v>
      </c>
      <c r="AJ152" s="3">
        <f t="shared" si="76"/>
        <v>4.5883940620782724</v>
      </c>
      <c r="AK152">
        <v>25</v>
      </c>
      <c r="AL152" s="3">
        <f t="shared" si="77"/>
        <v>3.3738191632928474</v>
      </c>
      <c r="AM152">
        <v>14</v>
      </c>
      <c r="AN152" s="3">
        <f t="shared" si="78"/>
        <v>1.8893387314439947</v>
      </c>
      <c r="AO152">
        <v>241</v>
      </c>
      <c r="AP152" s="3">
        <f t="shared" si="79"/>
        <v>32.523616734143047</v>
      </c>
      <c r="AQ152">
        <v>29</v>
      </c>
      <c r="AR152" s="3">
        <f t="shared" si="80"/>
        <v>3.9136302294197032</v>
      </c>
      <c r="AS152">
        <v>18</v>
      </c>
      <c r="AT152" s="3">
        <f t="shared" si="81"/>
        <v>2.42914979757085</v>
      </c>
      <c r="AU152" t="s">
        <v>315</v>
      </c>
      <c r="AV152" s="72">
        <f>Дума_партии[[#This Row],[КОИБ]]</f>
        <v>2017</v>
      </c>
      <c r="AW152" s="1">
        <f>IF(Дума_партии[[#This Row],[Наблюдателей]]=0,"",Дума_партии[[#This Row],[Наблюдателей]])</f>
        <v>1</v>
      </c>
      <c r="AX152"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25.479224376731281</v>
      </c>
      <c r="AY152" s="10">
        <f>2*(Дума_одномандатный[[#This Row],[Майданов Денис Васильевич]]-(AC$203/100)*Дума_одномандатный[[#This Row],[Число действительных избирательных бюллетеней]])</f>
        <v>36.791999999999973</v>
      </c>
      <c r="AZ152" s="10">
        <f>(Дума_одномандатный[[#This Row],[Вброс]]+Дума_одномандатный[[#This Row],[Перекладывание]])/2</f>
        <v>31.135612188365627</v>
      </c>
    </row>
    <row r="153" spans="1:52" x14ac:dyDescent="0.4">
      <c r="A153" t="s">
        <v>49</v>
      </c>
      <c r="B153" t="s">
        <v>50</v>
      </c>
      <c r="C153" t="s">
        <v>51</v>
      </c>
      <c r="D153" t="s">
        <v>227</v>
      </c>
      <c r="E153" t="s">
        <v>281</v>
      </c>
      <c r="F153" s="1">
        <f t="shared" ca="1" si="66"/>
        <v>2027</v>
      </c>
      <c r="G153" s="8" t="str">
        <f>Дума_партии[[#This Row],[Местоположение]]</f>
        <v>Одинцово</v>
      </c>
      <c r="H153" s="2" t="str">
        <f>LEFT(Дума_одномандатный[[#This Row],[tik]],4)&amp;"."&amp;IF(ISNUMBER(VALUE(RIGHT(Дума_одномандатный[[#This Row],[tik]]))),RIGHT(Дума_одномандатный[[#This Row],[tik]]),"")</f>
        <v>Один.2</v>
      </c>
      <c r="I153">
        <v>1817</v>
      </c>
      <c r="J153" s="8">
        <f>Дума_одномандатный[[#This Row],[Число избирателей, внесенных в список избирателей на момент окончания голосования]]</f>
        <v>1817</v>
      </c>
      <c r="K153">
        <v>1500</v>
      </c>
      <c r="L153">
        <v>0</v>
      </c>
      <c r="M153">
        <v>520</v>
      </c>
      <c r="N153">
        <v>0</v>
      </c>
      <c r="O153" s="3">
        <f t="shared" si="67"/>
        <v>28.618602091359385</v>
      </c>
      <c r="P153" s="3">
        <f t="shared" si="68"/>
        <v>0</v>
      </c>
      <c r="Q153">
        <v>979</v>
      </c>
      <c r="R153">
        <v>0</v>
      </c>
      <c r="S153">
        <v>519</v>
      </c>
      <c r="T153" s="1">
        <f t="shared" si="69"/>
        <v>519</v>
      </c>
      <c r="U153" s="3">
        <f t="shared" si="70"/>
        <v>0</v>
      </c>
      <c r="V153">
        <v>19</v>
      </c>
      <c r="W153" s="3">
        <f t="shared" si="71"/>
        <v>3.6608863198458574</v>
      </c>
      <c r="X153">
        <v>500</v>
      </c>
      <c r="Y153">
        <v>1</v>
      </c>
      <c r="Z153">
        <v>0</v>
      </c>
      <c r="AA153">
        <v>15</v>
      </c>
      <c r="AB153" s="3">
        <f t="shared" si="72"/>
        <v>2.8901734104046244</v>
      </c>
      <c r="AC153">
        <v>30</v>
      </c>
      <c r="AD153" s="3">
        <f t="shared" si="73"/>
        <v>5.7803468208092488</v>
      </c>
      <c r="AE153">
        <v>38</v>
      </c>
      <c r="AF153" s="3">
        <f t="shared" si="74"/>
        <v>7.3217726396917149</v>
      </c>
      <c r="AG153">
        <v>113</v>
      </c>
      <c r="AH153" s="3">
        <f t="shared" si="75"/>
        <v>21.772639691714836</v>
      </c>
      <c r="AI153">
        <v>29</v>
      </c>
      <c r="AJ153" s="3">
        <f t="shared" si="76"/>
        <v>5.5876685934489405</v>
      </c>
      <c r="AK153">
        <v>25</v>
      </c>
      <c r="AL153" s="3">
        <f t="shared" si="77"/>
        <v>4.8169556840077075</v>
      </c>
      <c r="AM153">
        <v>18</v>
      </c>
      <c r="AN153" s="3">
        <f t="shared" si="78"/>
        <v>3.4682080924855492</v>
      </c>
      <c r="AO153">
        <v>201</v>
      </c>
      <c r="AP153" s="3">
        <f t="shared" si="79"/>
        <v>38.728323699421964</v>
      </c>
      <c r="AQ153">
        <v>14</v>
      </c>
      <c r="AR153" s="3">
        <f t="shared" si="80"/>
        <v>2.6974951830443161</v>
      </c>
      <c r="AS153">
        <v>17</v>
      </c>
      <c r="AT153" s="3">
        <f t="shared" si="81"/>
        <v>3.2755298651252409</v>
      </c>
      <c r="AU153" t="s">
        <v>315</v>
      </c>
      <c r="AV153" s="72">
        <f>Дума_партии[[#This Row],[КОИБ]]</f>
        <v>2017</v>
      </c>
      <c r="AW153" s="1">
        <f>IF(Дума_партии[[#This Row],[Наблюдателей]]=0,"",Дума_партии[[#This Row],[Наблюдателей]])</f>
        <v>1</v>
      </c>
      <c r="AX153"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-36.011080332409989</v>
      </c>
      <c r="AY153" s="10">
        <f>2*(Дума_одномандатный[[#This Row],[Майданов Денис Васильевич]]-(AC$203/100)*Дума_одномандатный[[#This Row],[Число действительных избирательных бюллетеней]])</f>
        <v>-52</v>
      </c>
      <c r="AZ153" s="10">
        <f>(Дума_одномандатный[[#This Row],[Вброс]]+Дума_одномандатный[[#This Row],[Перекладывание]])/2</f>
        <v>-44.005540166204995</v>
      </c>
    </row>
    <row r="154" spans="1:52" x14ac:dyDescent="0.4">
      <c r="A154" t="s">
        <v>49</v>
      </c>
      <c r="B154" t="s">
        <v>50</v>
      </c>
      <c r="C154" t="s">
        <v>51</v>
      </c>
      <c r="D154" t="s">
        <v>227</v>
      </c>
      <c r="E154" t="s">
        <v>282</v>
      </c>
      <c r="F154" s="1">
        <f t="shared" ca="1" si="66"/>
        <v>2028</v>
      </c>
      <c r="G154" s="8" t="str">
        <f>Дума_партии[[#This Row],[Местоположение]]</f>
        <v>Одинцово</v>
      </c>
      <c r="H154" s="2" t="str">
        <f>LEFT(Дума_одномандатный[[#This Row],[tik]],4)&amp;"."&amp;IF(ISNUMBER(VALUE(RIGHT(Дума_одномандатный[[#This Row],[tik]]))),RIGHT(Дума_одномандатный[[#This Row],[tik]]),"")</f>
        <v>Один.2</v>
      </c>
      <c r="I154">
        <v>1939</v>
      </c>
      <c r="J154" s="8">
        <f>Дума_одномандатный[[#This Row],[Число избирателей, внесенных в список избирателей на момент окончания голосования]]</f>
        <v>1939</v>
      </c>
      <c r="K154">
        <v>1500</v>
      </c>
      <c r="L154">
        <v>0</v>
      </c>
      <c r="M154">
        <v>626</v>
      </c>
      <c r="N154">
        <v>1</v>
      </c>
      <c r="O154" s="3">
        <f t="shared" si="67"/>
        <v>32.336255801959773</v>
      </c>
      <c r="P154" s="3">
        <f t="shared" si="68"/>
        <v>5.1572975760701391E-2</v>
      </c>
      <c r="Q154">
        <v>873</v>
      </c>
      <c r="R154">
        <v>1</v>
      </c>
      <c r="S154">
        <v>626</v>
      </c>
      <c r="T154" s="1">
        <f t="shared" si="69"/>
        <v>627</v>
      </c>
      <c r="U154" s="3">
        <f t="shared" si="70"/>
        <v>0.15948963317384371</v>
      </c>
      <c r="V154">
        <v>18</v>
      </c>
      <c r="W154" s="3">
        <f t="shared" si="71"/>
        <v>2.8708133971291865</v>
      </c>
      <c r="X154">
        <v>609</v>
      </c>
      <c r="Y154">
        <v>0</v>
      </c>
      <c r="Z154">
        <v>0</v>
      </c>
      <c r="AA154">
        <v>42</v>
      </c>
      <c r="AB154" s="3">
        <f t="shared" si="72"/>
        <v>6.6985645933014357</v>
      </c>
      <c r="AC154">
        <v>50</v>
      </c>
      <c r="AD154" s="3">
        <f t="shared" si="73"/>
        <v>7.9744816586921852</v>
      </c>
      <c r="AE154">
        <v>41</v>
      </c>
      <c r="AF154" s="3">
        <f t="shared" si="74"/>
        <v>6.5390749601275919</v>
      </c>
      <c r="AG154">
        <v>138</v>
      </c>
      <c r="AH154" s="3">
        <f t="shared" si="75"/>
        <v>22.009569377990431</v>
      </c>
      <c r="AI154">
        <v>33</v>
      </c>
      <c r="AJ154" s="3">
        <f t="shared" si="76"/>
        <v>5.2631578947368425</v>
      </c>
      <c r="AK154">
        <v>27</v>
      </c>
      <c r="AL154" s="3">
        <f t="shared" si="77"/>
        <v>4.3062200956937797</v>
      </c>
      <c r="AM154">
        <v>19</v>
      </c>
      <c r="AN154" s="3">
        <f t="shared" si="78"/>
        <v>3.0303030303030303</v>
      </c>
      <c r="AO154">
        <v>228</v>
      </c>
      <c r="AP154" s="3">
        <f t="shared" si="79"/>
        <v>36.363636363636367</v>
      </c>
      <c r="AQ154">
        <v>18</v>
      </c>
      <c r="AR154" s="3">
        <f t="shared" si="80"/>
        <v>2.8708133971291865</v>
      </c>
      <c r="AS154">
        <v>13</v>
      </c>
      <c r="AT154" s="3">
        <f t="shared" si="81"/>
        <v>2.073365231259968</v>
      </c>
      <c r="AU154" t="s">
        <v>315</v>
      </c>
      <c r="AV154" s="72">
        <f>Дума_партии[[#This Row],[КОИБ]]</f>
        <v>2017</v>
      </c>
      <c r="AW154" s="1" t="str">
        <f>IF(Дума_партии[[#This Row],[Наблюдателей]]=0,"",Дума_партии[[#This Row],[Наблюдателей]])</f>
        <v/>
      </c>
      <c r="AX154"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-43.354570637119139</v>
      </c>
      <c r="AY154" s="10">
        <f>2*(Дума_одномандатный[[#This Row],[Майданов Денис Васильевич]]-(AC$203/100)*Дума_одномандатный[[#This Row],[Число действительных избирательных бюллетеней]])</f>
        <v>-62.604000000000042</v>
      </c>
      <c r="AZ154" s="10">
        <f>(Дума_одномандатный[[#This Row],[Вброс]]+Дума_одномандатный[[#This Row],[Перекладывание]])/2</f>
        <v>-52.97928531855959</v>
      </c>
    </row>
    <row r="155" spans="1:52" x14ac:dyDescent="0.4">
      <c r="A155" t="s">
        <v>49</v>
      </c>
      <c r="B155" t="s">
        <v>50</v>
      </c>
      <c r="C155" t="s">
        <v>51</v>
      </c>
      <c r="D155" t="s">
        <v>227</v>
      </c>
      <c r="E155" t="s">
        <v>283</v>
      </c>
      <c r="F155" s="1">
        <f t="shared" ca="1" si="66"/>
        <v>2029</v>
      </c>
      <c r="G155" s="8" t="str">
        <f>Дума_партии[[#This Row],[Местоположение]]</f>
        <v>Одинцово</v>
      </c>
      <c r="H155" s="2" t="str">
        <f>LEFT(Дума_одномандатный[[#This Row],[tik]],4)&amp;"."&amp;IF(ISNUMBER(VALUE(RIGHT(Дума_одномандатный[[#This Row],[tik]]))),RIGHT(Дума_одномандатный[[#This Row],[tik]]),"")</f>
        <v>Один.2</v>
      </c>
      <c r="I155">
        <v>2070</v>
      </c>
      <c r="J155" s="8">
        <f>Дума_одномандатный[[#This Row],[Число избирателей, внесенных в список избирателей на момент окончания голосования]]</f>
        <v>2070</v>
      </c>
      <c r="K155">
        <v>1800</v>
      </c>
      <c r="L155">
        <v>0</v>
      </c>
      <c r="M155">
        <v>500</v>
      </c>
      <c r="N155">
        <v>6</v>
      </c>
      <c r="O155" s="3">
        <f t="shared" si="67"/>
        <v>24.444444444444443</v>
      </c>
      <c r="P155" s="3">
        <f t="shared" si="68"/>
        <v>0.28985507246376813</v>
      </c>
      <c r="Q155">
        <v>1294</v>
      </c>
      <c r="R155">
        <v>6</v>
      </c>
      <c r="S155">
        <v>500</v>
      </c>
      <c r="T155" s="1">
        <f t="shared" si="69"/>
        <v>506</v>
      </c>
      <c r="U155" s="3">
        <f t="shared" si="70"/>
        <v>1.1857707509881423</v>
      </c>
      <c r="V155">
        <v>15</v>
      </c>
      <c r="W155" s="3">
        <f t="shared" si="71"/>
        <v>2.9644268774703559</v>
      </c>
      <c r="X155">
        <v>491</v>
      </c>
      <c r="Y155">
        <v>0</v>
      </c>
      <c r="Z155">
        <v>0</v>
      </c>
      <c r="AA155">
        <v>19</v>
      </c>
      <c r="AB155" s="3">
        <f t="shared" si="72"/>
        <v>3.7549407114624507</v>
      </c>
      <c r="AC155">
        <v>37</v>
      </c>
      <c r="AD155" s="3">
        <f t="shared" si="73"/>
        <v>7.3122529644268779</v>
      </c>
      <c r="AE155">
        <v>38</v>
      </c>
      <c r="AF155" s="3">
        <f t="shared" si="74"/>
        <v>7.5098814229249014</v>
      </c>
      <c r="AG155">
        <v>136</v>
      </c>
      <c r="AH155" s="3">
        <f t="shared" si="75"/>
        <v>26.877470355731226</v>
      </c>
      <c r="AI155">
        <v>29</v>
      </c>
      <c r="AJ155" s="3">
        <f t="shared" si="76"/>
        <v>5.7312252964426875</v>
      </c>
      <c r="AK155">
        <v>23</v>
      </c>
      <c r="AL155" s="3">
        <f t="shared" si="77"/>
        <v>4.5454545454545459</v>
      </c>
      <c r="AM155">
        <v>11</v>
      </c>
      <c r="AN155" s="3">
        <f t="shared" si="78"/>
        <v>2.1739130434782608</v>
      </c>
      <c r="AO155">
        <v>169</v>
      </c>
      <c r="AP155" s="3">
        <f t="shared" si="79"/>
        <v>33.399209486166008</v>
      </c>
      <c r="AQ155">
        <v>19</v>
      </c>
      <c r="AR155" s="3">
        <f t="shared" si="80"/>
        <v>3.7549407114624507</v>
      </c>
      <c r="AS155">
        <v>10</v>
      </c>
      <c r="AT155" s="3">
        <f t="shared" si="81"/>
        <v>1.9762845849802371</v>
      </c>
      <c r="AU155" t="s">
        <v>315</v>
      </c>
      <c r="AV155" s="72" t="str">
        <f>Дума_партии[[#This Row],[КОИБ]]</f>
        <v>N</v>
      </c>
      <c r="AW155" s="1" t="str">
        <f>IF(Дума_партии[[#This Row],[Наблюдателей]]=0,"",Дума_партии[[#This Row],[Наблюдателей]])</f>
        <v/>
      </c>
      <c r="AX155"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-0.68975069252078924</v>
      </c>
      <c r="AY155" s="10">
        <f>2*(Дума_одномандатный[[#This Row],[Майданов Денис Васильевич]]-(AC$203/100)*Дума_одномандатный[[#This Row],[Число действительных избирательных бюллетеней]])</f>
        <v>-0.99600000000003774</v>
      </c>
      <c r="AZ155" s="10">
        <f>(Дума_одномандатный[[#This Row],[Вброс]]+Дума_одномандатный[[#This Row],[Перекладывание]])/2</f>
        <v>-0.84287534626041349</v>
      </c>
    </row>
    <row r="156" spans="1:52" x14ac:dyDescent="0.4">
      <c r="A156" t="s">
        <v>49</v>
      </c>
      <c r="B156" t="s">
        <v>50</v>
      </c>
      <c r="C156" t="s">
        <v>51</v>
      </c>
      <c r="D156" t="s">
        <v>227</v>
      </c>
      <c r="E156" t="s">
        <v>284</v>
      </c>
      <c r="F156" s="1">
        <f t="shared" ca="1" si="66"/>
        <v>2030</v>
      </c>
      <c r="G156" s="8" t="str">
        <f>Дума_партии[[#This Row],[Местоположение]]</f>
        <v>Одинцово</v>
      </c>
      <c r="H156" s="2" t="str">
        <f>LEFT(Дума_одномандатный[[#This Row],[tik]],4)&amp;"."&amp;IF(ISNUMBER(VALUE(RIGHT(Дума_одномандатный[[#This Row],[tik]]))),RIGHT(Дума_одномандатный[[#This Row],[tik]]),"")</f>
        <v>Один.2</v>
      </c>
      <c r="I156">
        <v>2285</v>
      </c>
      <c r="J156" s="8">
        <f>Дума_одномандатный[[#This Row],[Число избирателей, внесенных в список избирателей на момент окончания голосования]]</f>
        <v>2285</v>
      </c>
      <c r="K156">
        <v>1800</v>
      </c>
      <c r="L156">
        <v>0</v>
      </c>
      <c r="M156">
        <v>654</v>
      </c>
      <c r="N156">
        <v>3</v>
      </c>
      <c r="O156" s="3">
        <f t="shared" si="67"/>
        <v>28.752735229759299</v>
      </c>
      <c r="P156" s="3">
        <f t="shared" si="68"/>
        <v>0.13129102844638948</v>
      </c>
      <c r="Q156">
        <v>1143</v>
      </c>
      <c r="R156">
        <v>3</v>
      </c>
      <c r="S156">
        <v>654</v>
      </c>
      <c r="T156" s="1">
        <f t="shared" si="69"/>
        <v>657</v>
      </c>
      <c r="U156" s="3">
        <f t="shared" si="70"/>
        <v>0.45662100456621002</v>
      </c>
      <c r="V156">
        <v>23</v>
      </c>
      <c r="W156" s="3">
        <f t="shared" si="71"/>
        <v>3.5007610350076104</v>
      </c>
      <c r="X156">
        <v>634</v>
      </c>
      <c r="Y156">
        <v>0</v>
      </c>
      <c r="Z156">
        <v>0</v>
      </c>
      <c r="AA156">
        <v>27</v>
      </c>
      <c r="AB156" s="3">
        <f t="shared" si="72"/>
        <v>4.1095890410958908</v>
      </c>
      <c r="AC156">
        <v>62</v>
      </c>
      <c r="AD156" s="3">
        <f t="shared" si="73"/>
        <v>9.4368340943683418</v>
      </c>
      <c r="AE156">
        <v>39</v>
      </c>
      <c r="AF156" s="3">
        <f t="shared" si="74"/>
        <v>5.9360730593607309</v>
      </c>
      <c r="AG156">
        <v>138</v>
      </c>
      <c r="AH156" s="3">
        <f t="shared" si="75"/>
        <v>21.004566210045663</v>
      </c>
      <c r="AI156">
        <v>36</v>
      </c>
      <c r="AJ156" s="3">
        <f t="shared" si="76"/>
        <v>5.4794520547945202</v>
      </c>
      <c r="AK156">
        <v>33</v>
      </c>
      <c r="AL156" s="3">
        <f t="shared" si="77"/>
        <v>5.0228310502283104</v>
      </c>
      <c r="AM156">
        <v>18</v>
      </c>
      <c r="AN156" s="3">
        <f t="shared" si="78"/>
        <v>2.7397260273972601</v>
      </c>
      <c r="AO156">
        <v>254</v>
      </c>
      <c r="AP156" s="3">
        <f t="shared" si="79"/>
        <v>38.660578386605785</v>
      </c>
      <c r="AQ156">
        <v>11</v>
      </c>
      <c r="AR156" s="3">
        <f t="shared" si="80"/>
        <v>1.6742770167427701</v>
      </c>
      <c r="AS156">
        <v>16</v>
      </c>
      <c r="AT156" s="3">
        <f t="shared" si="81"/>
        <v>2.4353120243531201</v>
      </c>
      <c r="AU156" t="s">
        <v>315</v>
      </c>
      <c r="AV156" s="72">
        <f>Дума_партии[[#This Row],[КОИБ]]</f>
        <v>2017</v>
      </c>
      <c r="AW156" s="1" t="str">
        <f>IF(Дума_партии[[#This Row],[Наблюдателей]]=0,"",Дума_партии[[#This Row],[Наблюдателей]])</f>
        <v/>
      </c>
      <c r="AX156"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-52.980609418282569</v>
      </c>
      <c r="AY156" s="10">
        <f>2*(Дума_одномандатный[[#This Row],[Майданов Денис Васильевич]]-(AC$203/100)*Дума_одномандатный[[#This Row],[Число действительных избирательных бюллетеней]])</f>
        <v>-76.504000000000019</v>
      </c>
      <c r="AZ156" s="10">
        <f>(Дума_одномандатный[[#This Row],[Вброс]]+Дума_одномандатный[[#This Row],[Перекладывание]])/2</f>
        <v>-64.742304709141294</v>
      </c>
    </row>
    <row r="157" spans="1:52" x14ac:dyDescent="0.4">
      <c r="A157" t="s">
        <v>49</v>
      </c>
      <c r="B157" t="s">
        <v>50</v>
      </c>
      <c r="C157" t="s">
        <v>51</v>
      </c>
      <c r="D157" t="s">
        <v>227</v>
      </c>
      <c r="E157" t="s">
        <v>285</v>
      </c>
      <c r="F157" s="1">
        <f t="shared" ca="1" si="66"/>
        <v>2031</v>
      </c>
      <c r="G157" s="8" t="str">
        <f>Дума_партии[[#This Row],[Местоположение]]</f>
        <v>Одинцово</v>
      </c>
      <c r="H157" s="2" t="str">
        <f>LEFT(Дума_одномандатный[[#This Row],[tik]],4)&amp;"."&amp;IF(ISNUMBER(VALUE(RIGHT(Дума_одномандатный[[#This Row],[tik]]))),RIGHT(Дума_одномандатный[[#This Row],[tik]]),"")</f>
        <v>Один.2</v>
      </c>
      <c r="I157">
        <v>2551</v>
      </c>
      <c r="J157" s="8">
        <f>Дума_одномандатный[[#This Row],[Число избирателей, внесенных в список избирателей на момент окончания голосования]]</f>
        <v>2551</v>
      </c>
      <c r="K157">
        <v>2000</v>
      </c>
      <c r="L157">
        <v>0</v>
      </c>
      <c r="M157">
        <v>667</v>
      </c>
      <c r="N157">
        <v>4</v>
      </c>
      <c r="O157" s="3">
        <f t="shared" si="67"/>
        <v>26.303410427283417</v>
      </c>
      <c r="P157" s="3">
        <f t="shared" si="68"/>
        <v>0.15680125441003528</v>
      </c>
      <c r="Q157">
        <v>1329</v>
      </c>
      <c r="R157">
        <v>4</v>
      </c>
      <c r="S157">
        <v>667</v>
      </c>
      <c r="T157" s="1">
        <f t="shared" si="69"/>
        <v>671</v>
      </c>
      <c r="U157" s="3">
        <f t="shared" si="70"/>
        <v>0.5961251862891207</v>
      </c>
      <c r="V157">
        <v>30</v>
      </c>
      <c r="W157" s="3">
        <f t="shared" si="71"/>
        <v>4.4709388971684056</v>
      </c>
      <c r="X157">
        <v>641</v>
      </c>
      <c r="Y157">
        <v>0</v>
      </c>
      <c r="Z157">
        <v>0</v>
      </c>
      <c r="AA157">
        <v>27</v>
      </c>
      <c r="AB157" s="3">
        <f t="shared" si="72"/>
        <v>4.0238450074515653</v>
      </c>
      <c r="AC157">
        <v>57</v>
      </c>
      <c r="AD157" s="3">
        <f t="shared" si="73"/>
        <v>8.49478390461997</v>
      </c>
      <c r="AE157">
        <v>38</v>
      </c>
      <c r="AF157" s="3">
        <f t="shared" si="74"/>
        <v>5.6631892697466464</v>
      </c>
      <c r="AG157">
        <v>135</v>
      </c>
      <c r="AH157" s="3">
        <f t="shared" si="75"/>
        <v>20.119225037257824</v>
      </c>
      <c r="AI157">
        <v>35</v>
      </c>
      <c r="AJ157" s="3">
        <f t="shared" si="76"/>
        <v>5.216095380029806</v>
      </c>
      <c r="AK157">
        <v>41</v>
      </c>
      <c r="AL157" s="3">
        <f t="shared" si="77"/>
        <v>6.1102831594634877</v>
      </c>
      <c r="AM157">
        <v>20</v>
      </c>
      <c r="AN157" s="3">
        <f t="shared" si="78"/>
        <v>2.9806259314456036</v>
      </c>
      <c r="AO157">
        <v>260</v>
      </c>
      <c r="AP157" s="3">
        <f t="shared" si="79"/>
        <v>38.748137108792847</v>
      </c>
      <c r="AQ157">
        <v>16</v>
      </c>
      <c r="AR157" s="3">
        <f t="shared" si="80"/>
        <v>2.3845007451564828</v>
      </c>
      <c r="AS157">
        <v>12</v>
      </c>
      <c r="AT157" s="3">
        <f t="shared" si="81"/>
        <v>1.7883755588673622</v>
      </c>
      <c r="AU157" t="s">
        <v>315</v>
      </c>
      <c r="AV157" s="72">
        <f>Дума_партии[[#This Row],[КОИБ]]</f>
        <v>2017</v>
      </c>
      <c r="AW157" s="1">
        <f>IF(Дума_партии[[#This Row],[Наблюдателей]]=0,"",Дума_партии[[#This Row],[Наблюдателей]])</f>
        <v>1</v>
      </c>
      <c r="AX157"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-59.831024930747958</v>
      </c>
      <c r="AY157" s="10">
        <f>2*(Дума_одномандатный[[#This Row],[Майданов Денис Васильевич]]-(AC$203/100)*Дума_одномандатный[[#This Row],[Число действительных избирательных бюллетеней]])</f>
        <v>-86.396000000000015</v>
      </c>
      <c r="AZ157" s="10">
        <f>(Дума_одномандатный[[#This Row],[Вброс]]+Дума_одномандатный[[#This Row],[Перекладывание]])/2</f>
        <v>-73.113512465373987</v>
      </c>
    </row>
    <row r="158" spans="1:52" x14ac:dyDescent="0.4">
      <c r="A158" t="s">
        <v>49</v>
      </c>
      <c r="B158" t="s">
        <v>50</v>
      </c>
      <c r="C158" t="s">
        <v>51</v>
      </c>
      <c r="D158" t="s">
        <v>227</v>
      </c>
      <c r="E158" t="s">
        <v>286</v>
      </c>
      <c r="F158" s="1">
        <f t="shared" ca="1" si="66"/>
        <v>2032</v>
      </c>
      <c r="G158" s="8" t="str">
        <f>Дума_партии[[#This Row],[Местоположение]]</f>
        <v>Одинцово</v>
      </c>
      <c r="H158" s="2" t="str">
        <f>LEFT(Дума_одномандатный[[#This Row],[tik]],4)&amp;"."&amp;IF(ISNUMBER(VALUE(RIGHT(Дума_одномандатный[[#This Row],[tik]]))),RIGHT(Дума_одномандатный[[#This Row],[tik]]),"")</f>
        <v>Один.2</v>
      </c>
      <c r="I158">
        <v>2992</v>
      </c>
      <c r="J158" s="8">
        <f>Дума_одномандатный[[#This Row],[Число избирателей, внесенных в список избирателей на момент окончания голосования]]</f>
        <v>2992</v>
      </c>
      <c r="K158">
        <v>2500</v>
      </c>
      <c r="L158">
        <v>0</v>
      </c>
      <c r="M158">
        <v>973</v>
      </c>
      <c r="N158">
        <v>11</v>
      </c>
      <c r="O158" s="3">
        <f t="shared" si="67"/>
        <v>32.887700534759361</v>
      </c>
      <c r="P158" s="3">
        <f t="shared" si="68"/>
        <v>0.36764705882352944</v>
      </c>
      <c r="Q158">
        <v>1516</v>
      </c>
      <c r="R158">
        <v>11</v>
      </c>
      <c r="S158">
        <v>973</v>
      </c>
      <c r="T158" s="1">
        <f t="shared" si="69"/>
        <v>984</v>
      </c>
      <c r="U158" s="3">
        <f t="shared" si="70"/>
        <v>1.1178861788617886</v>
      </c>
      <c r="V158">
        <v>358</v>
      </c>
      <c r="W158" s="3">
        <f t="shared" si="71"/>
        <v>36.382113821138212</v>
      </c>
      <c r="X158">
        <v>626</v>
      </c>
      <c r="Y158">
        <v>0</v>
      </c>
      <c r="Z158">
        <v>0</v>
      </c>
      <c r="AA158">
        <v>21</v>
      </c>
      <c r="AB158" s="3">
        <f t="shared" si="72"/>
        <v>2.1341463414634148</v>
      </c>
      <c r="AC158">
        <v>50</v>
      </c>
      <c r="AD158" s="3">
        <f t="shared" si="73"/>
        <v>5.0813008130081299</v>
      </c>
      <c r="AE158">
        <v>59</v>
      </c>
      <c r="AF158" s="3">
        <f t="shared" si="74"/>
        <v>5.9959349593495936</v>
      </c>
      <c r="AG158">
        <v>169</v>
      </c>
      <c r="AH158" s="3">
        <f t="shared" si="75"/>
        <v>17.174796747967481</v>
      </c>
      <c r="AI158">
        <v>37</v>
      </c>
      <c r="AJ158" s="3">
        <f t="shared" si="76"/>
        <v>3.7601626016260163</v>
      </c>
      <c r="AK158">
        <v>33</v>
      </c>
      <c r="AL158" s="3">
        <f t="shared" si="77"/>
        <v>3.3536585365853657</v>
      </c>
      <c r="AM158">
        <v>18</v>
      </c>
      <c r="AN158" s="3">
        <f t="shared" si="78"/>
        <v>1.8292682926829269</v>
      </c>
      <c r="AO158">
        <v>220</v>
      </c>
      <c r="AP158" s="3">
        <f t="shared" si="79"/>
        <v>22.357723577235774</v>
      </c>
      <c r="AQ158">
        <v>12</v>
      </c>
      <c r="AR158" s="3">
        <f t="shared" si="80"/>
        <v>1.2195121951219512</v>
      </c>
      <c r="AS158">
        <v>7</v>
      </c>
      <c r="AT158" s="3">
        <f t="shared" si="81"/>
        <v>0.71138211382113825</v>
      </c>
      <c r="AU158" t="s">
        <v>315</v>
      </c>
      <c r="AV158" s="72">
        <f>Дума_партии[[#This Row],[КОИБ]]</f>
        <v>2017</v>
      </c>
      <c r="AW158" s="1" t="str">
        <f>IF(Дума_партии[[#This Row],[Наблюдателей]]=0,"",Дума_партии[[#This Row],[Наблюдателей]])</f>
        <v/>
      </c>
      <c r="AX158"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-6.9639889196675995</v>
      </c>
      <c r="AY158" s="10">
        <f>2*(Дума_одномандатный[[#This Row],[Майданов Денис Васильевич]]-(AC$203/100)*Дума_одномандатный[[#This Row],[Число действительных избирательных бюллетеней]])</f>
        <v>-10.05600000000004</v>
      </c>
      <c r="AZ158" s="10">
        <f>(Дума_одномандатный[[#This Row],[Вброс]]+Дума_одномандатный[[#This Row],[Перекладывание]])/2</f>
        <v>-8.5099944598338197</v>
      </c>
    </row>
    <row r="159" spans="1:52" x14ac:dyDescent="0.4">
      <c r="A159" t="s">
        <v>49</v>
      </c>
      <c r="B159" t="s">
        <v>50</v>
      </c>
      <c r="C159" t="s">
        <v>51</v>
      </c>
      <c r="D159" t="s">
        <v>227</v>
      </c>
      <c r="E159" t="s">
        <v>287</v>
      </c>
      <c r="F159" s="1">
        <f t="shared" ca="1" si="66"/>
        <v>2033</v>
      </c>
      <c r="G159" s="8" t="str">
        <f>Дума_партии[[#This Row],[Местоположение]]</f>
        <v>Вырубово</v>
      </c>
      <c r="H159" s="2" t="str">
        <f>LEFT(Дума_одномандатный[[#This Row],[tik]],4)&amp;"."&amp;IF(ISNUMBER(VALUE(RIGHT(Дума_одномандатный[[#This Row],[tik]]))),RIGHT(Дума_одномандатный[[#This Row],[tik]]),"")</f>
        <v>Один.2</v>
      </c>
      <c r="I159">
        <v>752</v>
      </c>
      <c r="J159" s="8">
        <f>Дума_одномандатный[[#This Row],[Число избирателей, внесенных в список избирателей на момент окончания голосования]]</f>
        <v>752</v>
      </c>
      <c r="K159">
        <v>700</v>
      </c>
      <c r="L159">
        <v>0</v>
      </c>
      <c r="M159">
        <v>220</v>
      </c>
      <c r="N159">
        <v>181</v>
      </c>
      <c r="O159" s="3">
        <f t="shared" si="67"/>
        <v>53.324468085106382</v>
      </c>
      <c r="P159" s="3">
        <f t="shared" si="68"/>
        <v>24.069148936170212</v>
      </c>
      <c r="Q159">
        <v>299</v>
      </c>
      <c r="R159">
        <v>181</v>
      </c>
      <c r="S159">
        <v>219</v>
      </c>
      <c r="T159" s="1">
        <f t="shared" si="69"/>
        <v>400</v>
      </c>
      <c r="U159" s="3">
        <f t="shared" si="70"/>
        <v>45.25</v>
      </c>
      <c r="V159">
        <v>12</v>
      </c>
      <c r="W159" s="3">
        <f t="shared" si="71"/>
        <v>3</v>
      </c>
      <c r="X159">
        <v>388</v>
      </c>
      <c r="Y159">
        <v>0</v>
      </c>
      <c r="Z159">
        <v>0</v>
      </c>
      <c r="AA159">
        <v>7</v>
      </c>
      <c r="AB159" s="3">
        <f t="shared" si="72"/>
        <v>1.75</v>
      </c>
      <c r="AC159">
        <v>13</v>
      </c>
      <c r="AD159" s="3">
        <f t="shared" si="73"/>
        <v>3.25</v>
      </c>
      <c r="AE159">
        <v>20</v>
      </c>
      <c r="AF159" s="3">
        <f t="shared" si="74"/>
        <v>5</v>
      </c>
      <c r="AG159">
        <v>218</v>
      </c>
      <c r="AH159" s="3">
        <f t="shared" si="75"/>
        <v>54.5</v>
      </c>
      <c r="AI159">
        <v>18</v>
      </c>
      <c r="AJ159" s="3">
        <f t="shared" si="76"/>
        <v>4.5</v>
      </c>
      <c r="AK159">
        <v>16</v>
      </c>
      <c r="AL159" s="3">
        <f t="shared" si="77"/>
        <v>4</v>
      </c>
      <c r="AM159">
        <v>5</v>
      </c>
      <c r="AN159" s="3">
        <f t="shared" si="78"/>
        <v>1.25</v>
      </c>
      <c r="AO159">
        <v>75</v>
      </c>
      <c r="AP159" s="3">
        <f t="shared" si="79"/>
        <v>18.75</v>
      </c>
      <c r="AQ159">
        <v>14</v>
      </c>
      <c r="AR159" s="3">
        <f t="shared" si="80"/>
        <v>3.5</v>
      </c>
      <c r="AS159">
        <v>2</v>
      </c>
      <c r="AT159" s="3">
        <f t="shared" si="81"/>
        <v>0.5</v>
      </c>
      <c r="AU159" t="s">
        <v>315</v>
      </c>
      <c r="AV159" s="72">
        <f>Дума_партии[[#This Row],[КОИБ]]</f>
        <v>2017</v>
      </c>
      <c r="AW159" s="1" t="str">
        <f>IF(Дума_партии[[#This Row],[Наблюдателей]]=0,"",Дума_партии[[#This Row],[Наблюдателей]])</f>
        <v/>
      </c>
      <c r="AX159"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152.54293628808864</v>
      </c>
      <c r="AY159" s="10">
        <f>2*(Дума_одномандатный[[#This Row],[Майданов Денис Васильевич]]-(AC$203/100)*Дума_одномандатный[[#This Row],[Число действительных избирательных бюллетеней]])</f>
        <v>220.27199999999999</v>
      </c>
      <c r="AZ159" s="10">
        <f>(Дума_одномандатный[[#This Row],[Вброс]]+Дума_одномандатный[[#This Row],[Перекладывание]])/2</f>
        <v>186.40746814404432</v>
      </c>
    </row>
    <row r="160" spans="1:52" x14ac:dyDescent="0.4">
      <c r="A160" t="s">
        <v>49</v>
      </c>
      <c r="B160" t="s">
        <v>50</v>
      </c>
      <c r="C160" t="s">
        <v>51</v>
      </c>
      <c r="D160" t="s">
        <v>227</v>
      </c>
      <c r="E160" t="s">
        <v>288</v>
      </c>
      <c r="F160" s="1">
        <f t="shared" ca="1" si="66"/>
        <v>2034</v>
      </c>
      <c r="G160" s="8" t="str">
        <f>Дума_партии[[#This Row],[Местоположение]]</f>
        <v>Одинцово</v>
      </c>
      <c r="H160" s="2" t="str">
        <f>LEFT(Дума_одномандатный[[#This Row],[tik]],4)&amp;"."&amp;IF(ISNUMBER(VALUE(RIGHT(Дума_одномандатный[[#This Row],[tik]]))),RIGHT(Дума_одномандатный[[#This Row],[tik]]),"")</f>
        <v>Один.2</v>
      </c>
      <c r="I160">
        <v>793</v>
      </c>
      <c r="J160" s="8">
        <f>Дума_одномандатный[[#This Row],[Число избирателей, внесенных в список избирателей на момент окончания голосования]]</f>
        <v>793</v>
      </c>
      <c r="K160">
        <v>700</v>
      </c>
      <c r="L160">
        <v>0</v>
      </c>
      <c r="M160">
        <v>365</v>
      </c>
      <c r="N160">
        <v>33</v>
      </c>
      <c r="O160" s="3">
        <f t="shared" si="67"/>
        <v>50.189155107187894</v>
      </c>
      <c r="P160" s="3">
        <f t="shared" si="68"/>
        <v>4.1614123581336697</v>
      </c>
      <c r="Q160">
        <v>302</v>
      </c>
      <c r="R160">
        <v>33</v>
      </c>
      <c r="S160">
        <v>348</v>
      </c>
      <c r="T160" s="1">
        <f t="shared" si="69"/>
        <v>381</v>
      </c>
      <c r="U160" s="3">
        <f t="shared" si="70"/>
        <v>8.6614173228346463</v>
      </c>
      <c r="V160">
        <v>23</v>
      </c>
      <c r="W160" s="3">
        <f t="shared" si="71"/>
        <v>6.0367454068241466</v>
      </c>
      <c r="X160">
        <v>358</v>
      </c>
      <c r="Y160">
        <v>0</v>
      </c>
      <c r="Z160">
        <v>0</v>
      </c>
      <c r="AA160">
        <v>18</v>
      </c>
      <c r="AB160" s="3">
        <f t="shared" si="72"/>
        <v>4.7244094488188972</v>
      </c>
      <c r="AC160">
        <v>32</v>
      </c>
      <c r="AD160" s="3">
        <f t="shared" si="73"/>
        <v>8.3989501312335957</v>
      </c>
      <c r="AE160">
        <v>34</v>
      </c>
      <c r="AF160" s="3">
        <f t="shared" si="74"/>
        <v>8.9238845144356951</v>
      </c>
      <c r="AG160">
        <v>129</v>
      </c>
      <c r="AH160" s="3">
        <f t="shared" si="75"/>
        <v>33.85826771653543</v>
      </c>
      <c r="AI160">
        <v>21</v>
      </c>
      <c r="AJ160" s="3">
        <f t="shared" si="76"/>
        <v>5.5118110236220472</v>
      </c>
      <c r="AK160">
        <v>29</v>
      </c>
      <c r="AL160" s="3">
        <f t="shared" si="77"/>
        <v>7.6115485564304466</v>
      </c>
      <c r="AM160">
        <v>11</v>
      </c>
      <c r="AN160" s="3">
        <f t="shared" si="78"/>
        <v>2.8871391076115485</v>
      </c>
      <c r="AO160">
        <v>63</v>
      </c>
      <c r="AP160" s="3">
        <f t="shared" si="79"/>
        <v>16.535433070866141</v>
      </c>
      <c r="AQ160">
        <v>7</v>
      </c>
      <c r="AR160" s="3">
        <f t="shared" si="80"/>
        <v>1.837270341207349</v>
      </c>
      <c r="AS160">
        <v>14</v>
      </c>
      <c r="AT160" s="3">
        <f t="shared" si="81"/>
        <v>3.674540682414698</v>
      </c>
      <c r="AU160" t="s">
        <v>315</v>
      </c>
      <c r="AV160" s="72">
        <f>Дума_партии[[#This Row],[КОИБ]]</f>
        <v>2017</v>
      </c>
      <c r="AW160" s="1" t="str">
        <f>IF(Дума_партии[[#This Row],[Наблюдателей]]=0,"",Дума_партии[[#This Row],[Наблюдателей]])</f>
        <v/>
      </c>
      <c r="AX160"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40.825484764542921</v>
      </c>
      <c r="AY160" s="10">
        <f>2*(Дума_одномандатный[[#This Row],[Майданов Денис Васильевич]]-(AC$203/100)*Дума_одномандатный[[#This Row],[Число действительных избирательных бюллетеней]])</f>
        <v>58.95199999999997</v>
      </c>
      <c r="AZ160" s="10">
        <f>(Дума_одномандатный[[#This Row],[Вброс]]+Дума_одномандатный[[#This Row],[Перекладывание]])/2</f>
        <v>49.888742382271445</v>
      </c>
    </row>
    <row r="161" spans="1:52" x14ac:dyDescent="0.4">
      <c r="A161" t="s">
        <v>49</v>
      </c>
      <c r="B161" t="s">
        <v>50</v>
      </c>
      <c r="C161" t="s">
        <v>51</v>
      </c>
      <c r="D161" t="s">
        <v>227</v>
      </c>
      <c r="E161" t="s">
        <v>289</v>
      </c>
      <c r="F161" s="1">
        <f t="shared" ca="1" si="66"/>
        <v>2035</v>
      </c>
      <c r="G161" s="8" t="str">
        <f>Дума_партии[[#This Row],[Местоположение]]</f>
        <v>Одинцово</v>
      </c>
      <c r="H161" s="2" t="str">
        <f>LEFT(Дума_одномандатный[[#This Row],[tik]],4)&amp;"."&amp;IF(ISNUMBER(VALUE(RIGHT(Дума_одномандатный[[#This Row],[tik]]))),RIGHT(Дума_одномандатный[[#This Row],[tik]]),"")</f>
        <v>Один.2</v>
      </c>
      <c r="I161">
        <v>1731</v>
      </c>
      <c r="J161" s="8">
        <f>Дума_одномандатный[[#This Row],[Число избирателей, внесенных в список избирателей на момент окончания голосования]]</f>
        <v>1731</v>
      </c>
      <c r="K161">
        <v>1500</v>
      </c>
      <c r="L161">
        <v>0</v>
      </c>
      <c r="M161">
        <v>551</v>
      </c>
      <c r="N161">
        <v>7</v>
      </c>
      <c r="O161" s="3">
        <f t="shared" si="67"/>
        <v>32.23570190641248</v>
      </c>
      <c r="P161" s="3">
        <f t="shared" si="68"/>
        <v>0.40439052570768341</v>
      </c>
      <c r="Q161">
        <v>942</v>
      </c>
      <c r="R161">
        <v>7</v>
      </c>
      <c r="S161">
        <v>544</v>
      </c>
      <c r="T161" s="1">
        <f t="shared" si="69"/>
        <v>551</v>
      </c>
      <c r="U161" s="3">
        <f t="shared" si="70"/>
        <v>1.2704174228675136</v>
      </c>
      <c r="V161">
        <v>27</v>
      </c>
      <c r="W161" s="3">
        <f t="shared" si="71"/>
        <v>4.900181488203267</v>
      </c>
      <c r="X161">
        <v>524</v>
      </c>
      <c r="Y161">
        <v>0</v>
      </c>
      <c r="Z161">
        <v>0</v>
      </c>
      <c r="AA161">
        <v>17</v>
      </c>
      <c r="AB161" s="3">
        <f t="shared" si="72"/>
        <v>3.0852994555353903</v>
      </c>
      <c r="AC161">
        <v>39</v>
      </c>
      <c r="AD161" s="3">
        <f t="shared" si="73"/>
        <v>7.0780399274047188</v>
      </c>
      <c r="AE161">
        <v>36</v>
      </c>
      <c r="AF161" s="3">
        <f t="shared" si="74"/>
        <v>6.5335753176043561</v>
      </c>
      <c r="AG161">
        <v>176</v>
      </c>
      <c r="AH161" s="3">
        <f t="shared" si="75"/>
        <v>31.941923774954628</v>
      </c>
      <c r="AI161">
        <v>26</v>
      </c>
      <c r="AJ161" s="3">
        <f t="shared" si="76"/>
        <v>4.7186932849364789</v>
      </c>
      <c r="AK161">
        <v>23</v>
      </c>
      <c r="AL161" s="3">
        <f t="shared" si="77"/>
        <v>4.1742286751361162</v>
      </c>
      <c r="AM161">
        <v>8</v>
      </c>
      <c r="AN161" s="3">
        <f t="shared" si="78"/>
        <v>1.4519056261343013</v>
      </c>
      <c r="AO161">
        <v>170</v>
      </c>
      <c r="AP161" s="3">
        <f t="shared" si="79"/>
        <v>30.852994555353902</v>
      </c>
      <c r="AQ161">
        <v>18</v>
      </c>
      <c r="AR161" s="3">
        <f t="shared" si="80"/>
        <v>3.266787658802178</v>
      </c>
      <c r="AS161">
        <v>11</v>
      </c>
      <c r="AT161" s="3">
        <f t="shared" si="81"/>
        <v>1.9963702359346642</v>
      </c>
      <c r="AU161" t="s">
        <v>315</v>
      </c>
      <c r="AV161" s="72">
        <f>Дума_партии[[#This Row],[КОИБ]]</f>
        <v>2017</v>
      </c>
      <c r="AW161" s="1" t="str">
        <f>IF(Дума_партии[[#This Row],[Наблюдателей]]=0,"",Дума_партии[[#This Row],[Наблюдателей]])</f>
        <v/>
      </c>
      <c r="AX161"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42.00554016620498</v>
      </c>
      <c r="AY161" s="10">
        <f>2*(Дума_одномандатный[[#This Row],[Майданов Денис Васильевич]]-(AC$203/100)*Дума_одномандатный[[#This Row],[Число действительных избирательных бюллетеней]])</f>
        <v>60.655999999999949</v>
      </c>
      <c r="AZ161" s="10">
        <f>(Дума_одномандатный[[#This Row],[Вброс]]+Дума_одномандатный[[#This Row],[Перекладывание]])/2</f>
        <v>51.330770083102465</v>
      </c>
    </row>
    <row r="162" spans="1:52" x14ac:dyDescent="0.4">
      <c r="A162" t="s">
        <v>49</v>
      </c>
      <c r="B162" t="s">
        <v>50</v>
      </c>
      <c r="C162" t="s">
        <v>51</v>
      </c>
      <c r="D162" t="s">
        <v>227</v>
      </c>
      <c r="E162" t="s">
        <v>290</v>
      </c>
      <c r="F162" s="1">
        <f t="shared" ca="1" si="66"/>
        <v>2036</v>
      </c>
      <c r="G162" s="8" t="str">
        <f>Дума_партии[[#This Row],[Местоположение]]</f>
        <v>Мамоново</v>
      </c>
      <c r="H162" s="2" t="str">
        <f>LEFT(Дума_одномандатный[[#This Row],[tik]],4)&amp;"."&amp;IF(ISNUMBER(VALUE(RIGHT(Дума_одномандатный[[#This Row],[tik]]))),RIGHT(Дума_одномандатный[[#This Row],[tik]]),"")</f>
        <v>Один.2</v>
      </c>
      <c r="I162">
        <v>1086</v>
      </c>
      <c r="J162" s="8">
        <f>Дума_одномандатный[[#This Row],[Число избирателей, внесенных в список избирателей на момент окончания голосования]]</f>
        <v>1086</v>
      </c>
      <c r="K162">
        <v>900</v>
      </c>
      <c r="L162">
        <v>0</v>
      </c>
      <c r="M162">
        <v>224</v>
      </c>
      <c r="N162">
        <v>260</v>
      </c>
      <c r="O162" s="3">
        <f t="shared" si="67"/>
        <v>44.567219152854513</v>
      </c>
      <c r="P162" s="3">
        <f t="shared" si="68"/>
        <v>23.941068139963168</v>
      </c>
      <c r="Q162">
        <v>416</v>
      </c>
      <c r="R162">
        <v>260</v>
      </c>
      <c r="S162">
        <v>224</v>
      </c>
      <c r="T162" s="1">
        <f t="shared" si="69"/>
        <v>484</v>
      </c>
      <c r="U162" s="3">
        <f t="shared" si="70"/>
        <v>53.719008264462808</v>
      </c>
      <c r="V162">
        <v>10</v>
      </c>
      <c r="W162" s="3">
        <f t="shared" si="71"/>
        <v>2.0661157024793386</v>
      </c>
      <c r="X162">
        <v>474</v>
      </c>
      <c r="Y162">
        <v>0</v>
      </c>
      <c r="Z162">
        <v>0</v>
      </c>
      <c r="AA162">
        <v>9</v>
      </c>
      <c r="AB162" s="3">
        <f t="shared" si="72"/>
        <v>1.859504132231405</v>
      </c>
      <c r="AC162">
        <v>28</v>
      </c>
      <c r="AD162" s="3">
        <f t="shared" si="73"/>
        <v>5.785123966942149</v>
      </c>
      <c r="AE162">
        <v>31</v>
      </c>
      <c r="AF162" s="3">
        <f t="shared" si="74"/>
        <v>6.4049586776859506</v>
      </c>
      <c r="AG162">
        <v>285</v>
      </c>
      <c r="AH162" s="3">
        <f t="shared" si="75"/>
        <v>58.884297520661157</v>
      </c>
      <c r="AI162">
        <v>26</v>
      </c>
      <c r="AJ162" s="3">
        <f t="shared" si="76"/>
        <v>5.3719008264462813</v>
      </c>
      <c r="AK162">
        <v>14</v>
      </c>
      <c r="AL162" s="3">
        <f t="shared" si="77"/>
        <v>2.8925619834710745</v>
      </c>
      <c r="AM162">
        <v>2</v>
      </c>
      <c r="AN162" s="3">
        <f t="shared" si="78"/>
        <v>0.41322314049586778</v>
      </c>
      <c r="AO162">
        <v>69</v>
      </c>
      <c r="AP162" s="3">
        <f t="shared" si="79"/>
        <v>14.256198347107437</v>
      </c>
      <c r="AQ162">
        <v>4</v>
      </c>
      <c r="AR162" s="3">
        <f t="shared" si="80"/>
        <v>0.82644628099173556</v>
      </c>
      <c r="AS162">
        <v>6</v>
      </c>
      <c r="AT162" s="3">
        <f t="shared" si="81"/>
        <v>1.2396694214876034</v>
      </c>
      <c r="AU162" t="s">
        <v>315</v>
      </c>
      <c r="AV162" s="72">
        <f>Дума_партии[[#This Row],[КОИБ]]</f>
        <v>2017</v>
      </c>
      <c r="AW162" s="1" t="str">
        <f>IF(Дума_партии[[#This Row],[Наблюдателей]]=0,"",Дума_партии[[#This Row],[Наблюдателей]])</f>
        <v/>
      </c>
      <c r="AX162"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212.22714681440442</v>
      </c>
      <c r="AY162" s="10">
        <f>2*(Дума_одномандатный[[#This Row],[Майданов Денис Васильевич]]-(AC$203/100)*Дума_одномандатный[[#This Row],[Число действительных избирательных бюллетеней]])</f>
        <v>306.45599999999996</v>
      </c>
      <c r="AZ162" s="10">
        <f>(Дума_одномандатный[[#This Row],[Вброс]]+Дума_одномандатный[[#This Row],[Перекладывание]])/2</f>
        <v>259.34157340720219</v>
      </c>
    </row>
    <row r="163" spans="1:52" x14ac:dyDescent="0.4">
      <c r="A163" t="s">
        <v>49</v>
      </c>
      <c r="B163" t="s">
        <v>50</v>
      </c>
      <c r="C163" t="s">
        <v>51</v>
      </c>
      <c r="D163" t="s">
        <v>227</v>
      </c>
      <c r="E163" t="s">
        <v>291</v>
      </c>
      <c r="F163" s="1">
        <f t="shared" ca="1" si="66"/>
        <v>2037</v>
      </c>
      <c r="G163" s="8" t="str">
        <f>Дума_партии[[#This Row],[Местоположение]]</f>
        <v>Одинцово</v>
      </c>
      <c r="H163" s="2" t="str">
        <f>LEFT(Дума_одномандатный[[#This Row],[tik]],4)&amp;"."&amp;IF(ISNUMBER(VALUE(RIGHT(Дума_одномандатный[[#This Row],[tik]]))),RIGHT(Дума_одномандатный[[#This Row],[tik]]),"")</f>
        <v>Один.2</v>
      </c>
      <c r="I163">
        <v>2924</v>
      </c>
      <c r="J163" s="8">
        <f>Дума_одномандатный[[#This Row],[Число избирателей, внесенных в список избирателей на момент окончания голосования]]</f>
        <v>2924</v>
      </c>
      <c r="K163">
        <v>2500</v>
      </c>
      <c r="L163">
        <v>0</v>
      </c>
      <c r="M163">
        <v>783</v>
      </c>
      <c r="N163">
        <v>0</v>
      </c>
      <c r="O163" s="3">
        <f t="shared" si="67"/>
        <v>26.778385772913818</v>
      </c>
      <c r="P163" s="3">
        <f t="shared" si="68"/>
        <v>0</v>
      </c>
      <c r="Q163">
        <v>1717</v>
      </c>
      <c r="R163">
        <v>0</v>
      </c>
      <c r="S163">
        <v>753</v>
      </c>
      <c r="T163" s="1">
        <f t="shared" si="69"/>
        <v>753</v>
      </c>
      <c r="U163" s="3">
        <f t="shared" si="70"/>
        <v>0</v>
      </c>
      <c r="V163">
        <v>22</v>
      </c>
      <c r="W163" s="3">
        <f t="shared" si="71"/>
        <v>2.9216467463479416</v>
      </c>
      <c r="X163">
        <v>731</v>
      </c>
      <c r="Y163">
        <v>0</v>
      </c>
      <c r="Z163">
        <v>0</v>
      </c>
      <c r="AA163">
        <v>43</v>
      </c>
      <c r="AB163" s="3">
        <f t="shared" si="72"/>
        <v>5.710491367861886</v>
      </c>
      <c r="AC163">
        <v>75</v>
      </c>
      <c r="AD163" s="3">
        <f t="shared" si="73"/>
        <v>9.9601593625498008</v>
      </c>
      <c r="AE163">
        <v>44</v>
      </c>
      <c r="AF163" s="3">
        <f t="shared" si="74"/>
        <v>5.8432934926958833</v>
      </c>
      <c r="AG163">
        <v>188</v>
      </c>
      <c r="AH163" s="3">
        <f t="shared" si="75"/>
        <v>24.9667994687915</v>
      </c>
      <c r="AI163">
        <v>33</v>
      </c>
      <c r="AJ163" s="3">
        <f t="shared" si="76"/>
        <v>4.382470119521912</v>
      </c>
      <c r="AK163">
        <v>31</v>
      </c>
      <c r="AL163" s="3">
        <f t="shared" si="77"/>
        <v>4.1168658698539176</v>
      </c>
      <c r="AM163">
        <v>23</v>
      </c>
      <c r="AN163" s="3">
        <f t="shared" si="78"/>
        <v>3.0544488711819389</v>
      </c>
      <c r="AO163">
        <v>258</v>
      </c>
      <c r="AP163" s="3">
        <f t="shared" si="79"/>
        <v>34.262948207171313</v>
      </c>
      <c r="AQ163">
        <v>20</v>
      </c>
      <c r="AR163" s="3">
        <f t="shared" si="80"/>
        <v>2.6560424966799467</v>
      </c>
      <c r="AS163">
        <v>16</v>
      </c>
      <c r="AT163" s="3">
        <f t="shared" si="81"/>
        <v>2.1248339973439574</v>
      </c>
      <c r="AU163" t="s">
        <v>315</v>
      </c>
      <c r="AV163" s="72" t="str">
        <f>Дума_партии[[#This Row],[КОИБ]]</f>
        <v>N</v>
      </c>
      <c r="AW163" s="1" t="str">
        <f>IF(Дума_партии[[#This Row],[Наблюдателей]]=0,"",Дума_партии[[#This Row],[Наблюдателей]])</f>
        <v/>
      </c>
      <c r="AX163"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-21.077562326869838</v>
      </c>
      <c r="AY163" s="10">
        <f>2*(Дума_одномандатный[[#This Row],[Майданов Денис Васильевич]]-(AC$203/100)*Дума_одномандатный[[#This Row],[Число действительных избирательных бюллетеней]])</f>
        <v>-30.436000000000035</v>
      </c>
      <c r="AZ163" s="10">
        <f>(Дума_одномандатный[[#This Row],[Вброс]]+Дума_одномандатный[[#This Row],[Перекладывание]])/2</f>
        <v>-25.756781163434937</v>
      </c>
    </row>
    <row r="164" spans="1:52" x14ac:dyDescent="0.4">
      <c r="A164" t="s">
        <v>49</v>
      </c>
      <c r="B164" t="s">
        <v>50</v>
      </c>
      <c r="C164" t="s">
        <v>51</v>
      </c>
      <c r="D164" t="s">
        <v>227</v>
      </c>
      <c r="E164" t="s">
        <v>292</v>
      </c>
      <c r="F164" s="1">
        <f t="shared" ref="F164:F183" ca="1" si="82">SUMPRODUCT(MID(0&amp;E164, LARGE(INDEX(ISNUMBER(--MID(E164, ROW(INDIRECT("1:"&amp;LEN(E164))), 1)) * ROW(INDIRECT("1:"&amp;LEN(E164))), 0), ROW(INDIRECT("1:"&amp;LEN(E164))))+1, 1) * 10^ROW(INDIRECT("1:"&amp;LEN(E164)))/10)</f>
        <v>2038</v>
      </c>
      <c r="G164" s="8" t="str">
        <f>Дума_партии[[#This Row],[Местоположение]]</f>
        <v>Одинцово</v>
      </c>
      <c r="H164" s="2" t="str">
        <f>LEFT(Дума_одномандатный[[#This Row],[tik]],4)&amp;"."&amp;IF(ISNUMBER(VALUE(RIGHT(Дума_одномандатный[[#This Row],[tik]]))),RIGHT(Дума_одномандатный[[#This Row],[tik]]),"")</f>
        <v>Один.2</v>
      </c>
      <c r="I164">
        <v>2676</v>
      </c>
      <c r="J164" s="8">
        <f>Дума_одномандатный[[#This Row],[Число избирателей, внесенных в список избирателей на момент окончания голосования]]</f>
        <v>2676</v>
      </c>
      <c r="K164">
        <v>2000</v>
      </c>
      <c r="L164">
        <v>0</v>
      </c>
      <c r="M164">
        <v>697</v>
      </c>
      <c r="N164">
        <v>1</v>
      </c>
      <c r="O164" s="3">
        <f t="shared" ref="O164:O183" si="83">100*(M164+N164)/I164</f>
        <v>26.083707025411062</v>
      </c>
      <c r="P164" s="3">
        <f t="shared" ref="P164:P183" si="84">100*N164/I164</f>
        <v>3.7369207772795218E-2</v>
      </c>
      <c r="Q164">
        <v>1302</v>
      </c>
      <c r="R164">
        <v>1</v>
      </c>
      <c r="S164">
        <v>696</v>
      </c>
      <c r="T164" s="1">
        <f t="shared" ref="T164:T183" si="85">R164+S164</f>
        <v>697</v>
      </c>
      <c r="U164" s="3">
        <f t="shared" ref="U164:U183" si="86">100*R164/T164</f>
        <v>0.14347202295552366</v>
      </c>
      <c r="V164">
        <v>12</v>
      </c>
      <c r="W164" s="3">
        <f t="shared" ref="W164:W183" si="87">100*V164/T164</f>
        <v>1.7216642754662841</v>
      </c>
      <c r="X164">
        <v>685</v>
      </c>
      <c r="Y164">
        <v>0</v>
      </c>
      <c r="Z164">
        <v>0</v>
      </c>
      <c r="AA164">
        <v>40</v>
      </c>
      <c r="AB164" s="3">
        <f t="shared" ref="AB164:AB183" si="88">100*AA164/$T164</f>
        <v>5.7388809182209473</v>
      </c>
      <c r="AC164">
        <v>59</v>
      </c>
      <c r="AD164" s="3">
        <f t="shared" ref="AD164:AD183" si="89">100*AC164/$T164</f>
        <v>8.4648493543758967</v>
      </c>
      <c r="AE164">
        <v>44</v>
      </c>
      <c r="AF164" s="3">
        <f t="shared" ref="AF164:AF183" si="90">100*AE164/$T164</f>
        <v>6.3127690100430414</v>
      </c>
      <c r="AG164">
        <v>154</v>
      </c>
      <c r="AH164" s="3">
        <f t="shared" ref="AH164:AH183" si="91">100*AG164/$T164</f>
        <v>22.094691535150645</v>
      </c>
      <c r="AI164">
        <v>37</v>
      </c>
      <c r="AJ164" s="3">
        <f t="shared" ref="AJ164:AJ183" si="92">100*AI164/$T164</f>
        <v>5.308464849354376</v>
      </c>
      <c r="AK164">
        <v>40</v>
      </c>
      <c r="AL164" s="3">
        <f t="shared" ref="AL164:AL183" si="93">100*AK164/$T164</f>
        <v>5.7388809182209473</v>
      </c>
      <c r="AM164">
        <v>29</v>
      </c>
      <c r="AN164" s="3">
        <f t="shared" ref="AN164:AN183" si="94">100*AM164/$T164</f>
        <v>4.1606886657101869</v>
      </c>
      <c r="AO164">
        <v>263</v>
      </c>
      <c r="AP164" s="3">
        <f t="shared" ref="AP164:AP183" si="95">100*AO164/$T164</f>
        <v>37.733142037302727</v>
      </c>
      <c r="AQ164">
        <v>11</v>
      </c>
      <c r="AR164" s="3">
        <f t="shared" ref="AR164:AR183" si="96">100*AQ164/$T164</f>
        <v>1.5781922525107603</v>
      </c>
      <c r="AS164">
        <v>8</v>
      </c>
      <c r="AT164" s="3">
        <f t="shared" ref="AT164:AT183" si="97">100*AS164/$T164</f>
        <v>1.1477761836441893</v>
      </c>
      <c r="AU164" t="s">
        <v>315</v>
      </c>
      <c r="AV164" s="72">
        <f>Дума_партии[[#This Row],[КОИБ]]</f>
        <v>2017</v>
      </c>
      <c r="AW164" s="1">
        <f>IF(Дума_партии[[#This Row],[Наблюдателей]]=0,"",Дума_партии[[#This Row],[Наблюдателей]])</f>
        <v>1</v>
      </c>
      <c r="AX164"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-50.457063711911388</v>
      </c>
      <c r="AY164" s="10">
        <f>2*(Дума_одномандатный[[#This Row],[Майданов Денис Васильевич]]-(AC$203/100)*Дума_одномандатный[[#This Row],[Число действительных избирательных бюллетеней]])</f>
        <v>-72.860000000000014</v>
      </c>
      <c r="AZ164" s="10">
        <f>(Дума_одномандатный[[#This Row],[Вброс]]+Дума_одномандатный[[#This Row],[Перекладывание]])/2</f>
        <v>-61.658531855955701</v>
      </c>
    </row>
    <row r="165" spans="1:52" x14ac:dyDescent="0.4">
      <c r="A165" t="s">
        <v>49</v>
      </c>
      <c r="B165" t="s">
        <v>50</v>
      </c>
      <c r="C165" t="s">
        <v>51</v>
      </c>
      <c r="D165" t="s">
        <v>227</v>
      </c>
      <c r="E165" t="s">
        <v>293</v>
      </c>
      <c r="F165" s="1">
        <f t="shared" ca="1" si="82"/>
        <v>2039</v>
      </c>
      <c r="G165" s="8" t="str">
        <f>Дума_партии[[#This Row],[Местоположение]]</f>
        <v>Одинцово</v>
      </c>
      <c r="H165" s="2" t="str">
        <f>LEFT(Дума_одномандатный[[#This Row],[tik]],4)&amp;"."&amp;IF(ISNUMBER(VALUE(RIGHT(Дума_одномандатный[[#This Row],[tik]]))),RIGHT(Дума_одномандатный[[#This Row],[tik]]),"")</f>
        <v>Один.2</v>
      </c>
      <c r="I165">
        <v>2358</v>
      </c>
      <c r="J165" s="8">
        <f>Дума_одномандатный[[#This Row],[Число избирателей, внесенных в список избирателей на момент окончания голосования]]</f>
        <v>2358</v>
      </c>
      <c r="K165">
        <v>2000</v>
      </c>
      <c r="L165">
        <v>0</v>
      </c>
      <c r="M165">
        <v>625</v>
      </c>
      <c r="N165">
        <v>2</v>
      </c>
      <c r="O165" s="3">
        <f t="shared" si="83"/>
        <v>26.590330788804071</v>
      </c>
      <c r="P165" s="3">
        <f t="shared" si="84"/>
        <v>8.4817642069550461E-2</v>
      </c>
      <c r="Q165">
        <v>1373</v>
      </c>
      <c r="R165">
        <v>2</v>
      </c>
      <c r="S165">
        <v>625</v>
      </c>
      <c r="T165" s="1">
        <f t="shared" si="85"/>
        <v>627</v>
      </c>
      <c r="U165" s="3">
        <f t="shared" si="86"/>
        <v>0.31897926634768742</v>
      </c>
      <c r="V165">
        <v>13</v>
      </c>
      <c r="W165" s="3">
        <f t="shared" si="87"/>
        <v>2.073365231259968</v>
      </c>
      <c r="X165">
        <v>614</v>
      </c>
      <c r="Y165">
        <v>0</v>
      </c>
      <c r="Z165">
        <v>0</v>
      </c>
      <c r="AA165">
        <v>23</v>
      </c>
      <c r="AB165" s="3">
        <f t="shared" si="88"/>
        <v>3.668261562998405</v>
      </c>
      <c r="AC165">
        <v>50</v>
      </c>
      <c r="AD165" s="3">
        <f t="shared" si="89"/>
        <v>7.9744816586921852</v>
      </c>
      <c r="AE165">
        <v>38</v>
      </c>
      <c r="AF165" s="3">
        <f t="shared" si="90"/>
        <v>6.0606060606060606</v>
      </c>
      <c r="AG165">
        <v>147</v>
      </c>
      <c r="AH165" s="3">
        <f t="shared" si="91"/>
        <v>23.444976076555022</v>
      </c>
      <c r="AI165">
        <v>41</v>
      </c>
      <c r="AJ165" s="3">
        <f t="shared" si="92"/>
        <v>6.5390749601275919</v>
      </c>
      <c r="AK165">
        <v>30</v>
      </c>
      <c r="AL165" s="3">
        <f t="shared" si="93"/>
        <v>4.7846889952153111</v>
      </c>
      <c r="AM165">
        <v>29</v>
      </c>
      <c r="AN165" s="3">
        <f t="shared" si="94"/>
        <v>4.6251993620414673</v>
      </c>
      <c r="AO165">
        <v>215</v>
      </c>
      <c r="AP165" s="3">
        <f t="shared" si="95"/>
        <v>34.290271132376397</v>
      </c>
      <c r="AQ165">
        <v>15</v>
      </c>
      <c r="AR165" s="3">
        <f t="shared" si="96"/>
        <v>2.3923444976076556</v>
      </c>
      <c r="AS165">
        <v>26</v>
      </c>
      <c r="AT165" s="3">
        <f t="shared" si="97"/>
        <v>4.1467304625199359</v>
      </c>
      <c r="AU165" t="s">
        <v>315</v>
      </c>
      <c r="AV165" s="72">
        <f>Дума_партии[[#This Row],[КОИБ]]</f>
        <v>2017</v>
      </c>
      <c r="AW165" s="1" t="str">
        <f>IF(Дума_партии[[#This Row],[Наблюдателей]]=0,"",Дума_партии[[#This Row],[Наблюдателей]])</f>
        <v/>
      </c>
      <c r="AX165"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-32.814404432132989</v>
      </c>
      <c r="AY165" s="10">
        <f>2*(Дума_одномандатный[[#This Row],[Майданов Денис Васильевич]]-(AC$203/100)*Дума_одномандатный[[#This Row],[Число действительных избирательных бюллетеней]])</f>
        <v>-47.384000000000015</v>
      </c>
      <c r="AZ165" s="10">
        <f>(Дума_одномандатный[[#This Row],[Вброс]]+Дума_одномандатный[[#This Row],[Перекладывание]])/2</f>
        <v>-40.099202216066502</v>
      </c>
    </row>
    <row r="166" spans="1:52" x14ac:dyDescent="0.4">
      <c r="A166" t="s">
        <v>49</v>
      </c>
      <c r="B166" t="s">
        <v>50</v>
      </c>
      <c r="C166" t="s">
        <v>51</v>
      </c>
      <c r="D166" t="s">
        <v>227</v>
      </c>
      <c r="E166" t="s">
        <v>294</v>
      </c>
      <c r="F166" s="1">
        <f t="shared" ca="1" si="82"/>
        <v>2040</v>
      </c>
      <c r="G166" s="8" t="str">
        <f>Дума_партии[[#This Row],[Местоположение]]</f>
        <v>Одинцово</v>
      </c>
      <c r="H166" s="2" t="str">
        <f>LEFT(Дума_одномандатный[[#This Row],[tik]],4)&amp;"."&amp;IF(ISNUMBER(VALUE(RIGHT(Дума_одномандатный[[#This Row],[tik]]))),RIGHT(Дума_одномандатный[[#This Row],[tik]]),"")</f>
        <v>Один.2</v>
      </c>
      <c r="I166">
        <v>2212</v>
      </c>
      <c r="J166" s="8">
        <f>Дума_одномандатный[[#This Row],[Число избирателей, внесенных в список избирателей на момент окончания голосования]]</f>
        <v>2212</v>
      </c>
      <c r="K166">
        <v>1800</v>
      </c>
      <c r="L166">
        <v>0</v>
      </c>
      <c r="M166">
        <v>643</v>
      </c>
      <c r="N166">
        <v>3</v>
      </c>
      <c r="O166" s="3">
        <f t="shared" si="83"/>
        <v>29.204339963833636</v>
      </c>
      <c r="P166" s="3">
        <f t="shared" si="84"/>
        <v>0.13562386980108498</v>
      </c>
      <c r="Q166">
        <v>1154</v>
      </c>
      <c r="R166">
        <v>3</v>
      </c>
      <c r="S166">
        <v>643</v>
      </c>
      <c r="T166" s="1">
        <f t="shared" si="85"/>
        <v>646</v>
      </c>
      <c r="U166" s="3">
        <f t="shared" si="86"/>
        <v>0.46439628482972134</v>
      </c>
      <c r="V166">
        <v>18</v>
      </c>
      <c r="W166" s="3">
        <f t="shared" si="87"/>
        <v>2.7863777089783284</v>
      </c>
      <c r="X166">
        <v>628</v>
      </c>
      <c r="Y166">
        <v>0</v>
      </c>
      <c r="Z166">
        <v>0</v>
      </c>
      <c r="AA166">
        <v>21</v>
      </c>
      <c r="AB166" s="3">
        <f t="shared" si="88"/>
        <v>3.2507739938080493</v>
      </c>
      <c r="AC166">
        <v>73</v>
      </c>
      <c r="AD166" s="3">
        <f t="shared" si="89"/>
        <v>11.300309597523221</v>
      </c>
      <c r="AE166">
        <v>53</v>
      </c>
      <c r="AF166" s="3">
        <f t="shared" si="90"/>
        <v>8.204334365325078</v>
      </c>
      <c r="AG166">
        <v>149</v>
      </c>
      <c r="AH166" s="3">
        <f t="shared" si="91"/>
        <v>23.065015479876163</v>
      </c>
      <c r="AI166">
        <v>32</v>
      </c>
      <c r="AJ166" s="3">
        <f t="shared" si="92"/>
        <v>4.9535603715170282</v>
      </c>
      <c r="AK166">
        <v>33</v>
      </c>
      <c r="AL166" s="3">
        <f t="shared" si="93"/>
        <v>5.1083591331269353</v>
      </c>
      <c r="AM166">
        <v>18</v>
      </c>
      <c r="AN166" s="3">
        <f t="shared" si="94"/>
        <v>2.7863777089783284</v>
      </c>
      <c r="AO166">
        <v>219</v>
      </c>
      <c r="AP166" s="3">
        <f t="shared" si="95"/>
        <v>33.900928792569658</v>
      </c>
      <c r="AQ166">
        <v>19</v>
      </c>
      <c r="AR166" s="3">
        <f t="shared" si="96"/>
        <v>2.9411764705882355</v>
      </c>
      <c r="AS166">
        <v>11</v>
      </c>
      <c r="AT166" s="3">
        <f t="shared" si="97"/>
        <v>1.7027863777089782</v>
      </c>
      <c r="AU166" t="s">
        <v>315</v>
      </c>
      <c r="AV166" s="72">
        <f>Дума_партии[[#This Row],[КОИБ]]</f>
        <v>2017</v>
      </c>
      <c r="AW166" s="1" t="str">
        <f>IF(Дума_партии[[#This Row],[Наблюдателей]]=0,"",Дума_партии[[#This Row],[Наблюдателей]])</f>
        <v/>
      </c>
      <c r="AX166"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-35.434903047091439</v>
      </c>
      <c r="AY166" s="10">
        <f>2*(Дума_одномандатный[[#This Row],[Майданов Денис Васильевич]]-(AC$203/100)*Дума_одномандатный[[#This Row],[Число действительных избирательных бюллетеней]])</f>
        <v>-51.168000000000006</v>
      </c>
      <c r="AZ166" s="10">
        <f>(Дума_одномандатный[[#This Row],[Вброс]]+Дума_одномандатный[[#This Row],[Перекладывание]])/2</f>
        <v>-43.301451523545722</v>
      </c>
    </row>
    <row r="167" spans="1:52" x14ac:dyDescent="0.4">
      <c r="A167" t="s">
        <v>49</v>
      </c>
      <c r="B167" t="s">
        <v>50</v>
      </c>
      <c r="C167" t="s">
        <v>51</v>
      </c>
      <c r="D167" t="s">
        <v>227</v>
      </c>
      <c r="E167" t="s">
        <v>295</v>
      </c>
      <c r="F167" s="1">
        <f t="shared" ca="1" si="82"/>
        <v>2041</v>
      </c>
      <c r="G167" s="8" t="str">
        <f>Дума_партии[[#This Row],[Местоположение]]</f>
        <v>Одинцово</v>
      </c>
      <c r="H167" s="2" t="str">
        <f>LEFT(Дума_одномандатный[[#This Row],[tik]],4)&amp;"."&amp;IF(ISNUMBER(VALUE(RIGHT(Дума_одномандатный[[#This Row],[tik]]))),RIGHT(Дума_одномандатный[[#This Row],[tik]]),"")</f>
        <v>Один.2</v>
      </c>
      <c r="I167">
        <v>2419</v>
      </c>
      <c r="J167" s="8">
        <f>Дума_одномандатный[[#This Row],[Число избирателей, внесенных в список избирателей на момент окончания голосования]]</f>
        <v>2419</v>
      </c>
      <c r="K167">
        <v>2000</v>
      </c>
      <c r="L167">
        <v>0</v>
      </c>
      <c r="M167">
        <v>648</v>
      </c>
      <c r="N167">
        <v>3</v>
      </c>
      <c r="O167" s="3">
        <f t="shared" si="83"/>
        <v>26.91194708557255</v>
      </c>
      <c r="P167" s="3">
        <f t="shared" si="84"/>
        <v>0.12401818933443572</v>
      </c>
      <c r="Q167">
        <v>1349</v>
      </c>
      <c r="R167">
        <v>3</v>
      </c>
      <c r="S167">
        <v>648</v>
      </c>
      <c r="T167" s="1">
        <f t="shared" si="85"/>
        <v>651</v>
      </c>
      <c r="U167" s="3">
        <f t="shared" si="86"/>
        <v>0.46082949308755761</v>
      </c>
      <c r="V167">
        <v>26</v>
      </c>
      <c r="W167" s="3">
        <f t="shared" si="87"/>
        <v>3.9938556067588324</v>
      </c>
      <c r="X167">
        <v>625</v>
      </c>
      <c r="Y167">
        <v>0</v>
      </c>
      <c r="Z167">
        <v>0</v>
      </c>
      <c r="AA167">
        <v>21</v>
      </c>
      <c r="AB167" s="3">
        <f t="shared" si="88"/>
        <v>3.225806451612903</v>
      </c>
      <c r="AC167">
        <v>59</v>
      </c>
      <c r="AD167" s="3">
        <f t="shared" si="89"/>
        <v>9.0629800307219668</v>
      </c>
      <c r="AE167">
        <v>57</v>
      </c>
      <c r="AF167" s="3">
        <f t="shared" si="90"/>
        <v>8.7557603686635943</v>
      </c>
      <c r="AG167">
        <v>163</v>
      </c>
      <c r="AH167" s="3">
        <f t="shared" si="91"/>
        <v>25.038402457757297</v>
      </c>
      <c r="AI167">
        <v>35</v>
      </c>
      <c r="AJ167" s="3">
        <f t="shared" si="92"/>
        <v>5.376344086021505</v>
      </c>
      <c r="AK167">
        <v>33</v>
      </c>
      <c r="AL167" s="3">
        <f t="shared" si="93"/>
        <v>5.0691244239631335</v>
      </c>
      <c r="AM167">
        <v>18</v>
      </c>
      <c r="AN167" s="3">
        <f t="shared" si="94"/>
        <v>2.7649769585253456</v>
      </c>
      <c r="AO167">
        <v>210</v>
      </c>
      <c r="AP167" s="3">
        <f t="shared" si="95"/>
        <v>32.258064516129032</v>
      </c>
      <c r="AQ167">
        <v>11</v>
      </c>
      <c r="AR167" s="3">
        <f t="shared" si="96"/>
        <v>1.6897081413210446</v>
      </c>
      <c r="AS167">
        <v>18</v>
      </c>
      <c r="AT167" s="3">
        <f t="shared" si="97"/>
        <v>2.7649769585253456</v>
      </c>
      <c r="AU167" t="s">
        <v>315</v>
      </c>
      <c r="AV167" s="72">
        <f>Дума_партии[[#This Row],[КОИБ]]</f>
        <v>2017</v>
      </c>
      <c r="AW167" s="1" t="str">
        <f>IF(Дума_партии[[#This Row],[Наблюдателей]]=0,"",Дума_партии[[#This Row],[Наблюдателей]])</f>
        <v/>
      </c>
      <c r="AX167"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-14.889196675900308</v>
      </c>
      <c r="AY167" s="10">
        <f>2*(Дума_одномандатный[[#This Row],[Майданов Денис Васильевич]]-(AC$203/100)*Дума_одномандатный[[#This Row],[Число действительных избирательных бюллетеней]])</f>
        <v>-21.500000000000057</v>
      </c>
      <c r="AZ167" s="10">
        <f>(Дума_одномандатный[[#This Row],[Вброс]]+Дума_одномандатный[[#This Row],[Перекладывание]])/2</f>
        <v>-18.194598337950183</v>
      </c>
    </row>
    <row r="168" spans="1:52" x14ac:dyDescent="0.4">
      <c r="A168" t="s">
        <v>49</v>
      </c>
      <c r="B168" t="s">
        <v>50</v>
      </c>
      <c r="C168" t="s">
        <v>51</v>
      </c>
      <c r="D168" t="s">
        <v>227</v>
      </c>
      <c r="E168" t="s">
        <v>296</v>
      </c>
      <c r="F168" s="1">
        <f t="shared" ca="1" si="82"/>
        <v>2042</v>
      </c>
      <c r="G168" s="8" t="str">
        <f>Дума_партии[[#This Row],[Местоположение]]</f>
        <v>Одинцово</v>
      </c>
      <c r="H168" s="2" t="str">
        <f>LEFT(Дума_одномандатный[[#This Row],[tik]],4)&amp;"."&amp;IF(ISNUMBER(VALUE(RIGHT(Дума_одномандатный[[#This Row],[tik]]))),RIGHT(Дума_одномандатный[[#This Row],[tik]]),"")</f>
        <v>Один.2</v>
      </c>
      <c r="I168">
        <v>2155</v>
      </c>
      <c r="J168" s="8">
        <f>Дума_одномандатный[[#This Row],[Число избирателей, внесенных в список избирателей на момент окончания голосования]]</f>
        <v>2155</v>
      </c>
      <c r="K168">
        <v>1700</v>
      </c>
      <c r="L168">
        <v>0</v>
      </c>
      <c r="M168">
        <v>494</v>
      </c>
      <c r="N168">
        <v>1</v>
      </c>
      <c r="O168" s="3">
        <f t="shared" si="83"/>
        <v>22.96983758700696</v>
      </c>
      <c r="P168" s="3">
        <f t="shared" si="84"/>
        <v>4.6403712296983757E-2</v>
      </c>
      <c r="Q168">
        <v>1205</v>
      </c>
      <c r="R168">
        <v>1</v>
      </c>
      <c r="S168">
        <v>491</v>
      </c>
      <c r="T168" s="1">
        <f t="shared" si="85"/>
        <v>492</v>
      </c>
      <c r="U168" s="3">
        <f t="shared" si="86"/>
        <v>0.2032520325203252</v>
      </c>
      <c r="V168">
        <v>31</v>
      </c>
      <c r="W168" s="3">
        <f t="shared" si="87"/>
        <v>6.3008130081300813</v>
      </c>
      <c r="X168">
        <v>461</v>
      </c>
      <c r="Y168">
        <v>0</v>
      </c>
      <c r="Z168">
        <v>0</v>
      </c>
      <c r="AA168">
        <v>14</v>
      </c>
      <c r="AB168" s="3">
        <f t="shared" si="88"/>
        <v>2.845528455284553</v>
      </c>
      <c r="AC168">
        <v>35</v>
      </c>
      <c r="AD168" s="3">
        <f t="shared" si="89"/>
        <v>7.1138211382113825</v>
      </c>
      <c r="AE168">
        <v>37</v>
      </c>
      <c r="AF168" s="3">
        <f t="shared" si="90"/>
        <v>7.5203252032520327</v>
      </c>
      <c r="AG168">
        <v>126</v>
      </c>
      <c r="AH168" s="3">
        <f t="shared" si="91"/>
        <v>25.609756097560975</v>
      </c>
      <c r="AI168">
        <v>28</v>
      </c>
      <c r="AJ168" s="3">
        <f t="shared" si="92"/>
        <v>5.691056910569106</v>
      </c>
      <c r="AK168">
        <v>23</v>
      </c>
      <c r="AL168" s="3">
        <f t="shared" si="93"/>
        <v>4.6747967479674797</v>
      </c>
      <c r="AM168">
        <v>20</v>
      </c>
      <c r="AN168" s="3">
        <f t="shared" si="94"/>
        <v>4.0650406504065044</v>
      </c>
      <c r="AO168">
        <v>156</v>
      </c>
      <c r="AP168" s="3">
        <f t="shared" si="95"/>
        <v>31.707317073170731</v>
      </c>
      <c r="AQ168">
        <v>16</v>
      </c>
      <c r="AR168" s="3">
        <f t="shared" si="96"/>
        <v>3.2520325203252032</v>
      </c>
      <c r="AS168">
        <v>6</v>
      </c>
      <c r="AT168" s="3">
        <f t="shared" si="97"/>
        <v>1.2195121951219512</v>
      </c>
      <c r="AU168" t="s">
        <v>315</v>
      </c>
      <c r="AV168" s="72">
        <f>Дума_партии[[#This Row],[КОИБ]]</f>
        <v>2017</v>
      </c>
      <c r="AW168" s="1" t="str">
        <f>IF(Дума_партии[[#This Row],[Наблюдателей]]=0,"",Дума_партии[[#This Row],[Наблюдателей]])</f>
        <v/>
      </c>
      <c r="AX168"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-2.9889196675900394</v>
      </c>
      <c r="AY168" s="10">
        <f>2*(Дума_одномандатный[[#This Row],[Майданов Денис Васильевич]]-(AC$203/100)*Дума_одномандатный[[#This Row],[Число действительных избирательных бюллетеней]])</f>
        <v>-4.3160000000000309</v>
      </c>
      <c r="AZ168" s="10">
        <f>(Дума_одномандатный[[#This Row],[Вброс]]+Дума_одномандатный[[#This Row],[Перекладывание]])/2</f>
        <v>-3.6524598337950351</v>
      </c>
    </row>
    <row r="169" spans="1:52" x14ac:dyDescent="0.4">
      <c r="A169" t="s">
        <v>49</v>
      </c>
      <c r="B169" t="s">
        <v>50</v>
      </c>
      <c r="C169" t="s">
        <v>51</v>
      </c>
      <c r="D169" t="s">
        <v>227</v>
      </c>
      <c r="E169" t="s">
        <v>297</v>
      </c>
      <c r="F169" s="1">
        <f t="shared" ca="1" si="82"/>
        <v>2043</v>
      </c>
      <c r="G169" s="8" t="str">
        <f>Дума_партии[[#This Row],[Местоположение]]</f>
        <v>Одинцово</v>
      </c>
      <c r="H169" s="2" t="str">
        <f>LEFT(Дума_одномандатный[[#This Row],[tik]],4)&amp;"."&amp;IF(ISNUMBER(VALUE(RIGHT(Дума_одномандатный[[#This Row],[tik]]))),RIGHT(Дума_одномандатный[[#This Row],[tik]]),"")</f>
        <v>Один.2</v>
      </c>
      <c r="I169">
        <v>2359</v>
      </c>
      <c r="J169" s="8">
        <f>Дума_одномандатный[[#This Row],[Число избирателей, внесенных в список избирателей на момент окончания голосования]]</f>
        <v>2359</v>
      </c>
      <c r="K169">
        <v>2000</v>
      </c>
      <c r="L169">
        <v>0</v>
      </c>
      <c r="M169">
        <v>565</v>
      </c>
      <c r="N169">
        <v>3</v>
      </c>
      <c r="O169" s="3">
        <f t="shared" si="83"/>
        <v>24.077999152183128</v>
      </c>
      <c r="P169" s="3">
        <f t="shared" si="84"/>
        <v>0.1271725307333616</v>
      </c>
      <c r="Q169">
        <v>1432</v>
      </c>
      <c r="R169">
        <v>3</v>
      </c>
      <c r="S169">
        <v>562</v>
      </c>
      <c r="T169" s="1">
        <f t="shared" si="85"/>
        <v>565</v>
      </c>
      <c r="U169" s="3">
        <f t="shared" si="86"/>
        <v>0.53097345132743368</v>
      </c>
      <c r="V169">
        <v>17</v>
      </c>
      <c r="W169" s="3">
        <f t="shared" si="87"/>
        <v>3.0088495575221237</v>
      </c>
      <c r="X169">
        <v>548</v>
      </c>
      <c r="Y169">
        <v>0</v>
      </c>
      <c r="Z169">
        <v>0</v>
      </c>
      <c r="AA169">
        <v>25</v>
      </c>
      <c r="AB169" s="3">
        <f t="shared" si="88"/>
        <v>4.4247787610619467</v>
      </c>
      <c r="AC169">
        <v>39</v>
      </c>
      <c r="AD169" s="3">
        <f t="shared" si="89"/>
        <v>6.9026548672566372</v>
      </c>
      <c r="AE169">
        <v>43</v>
      </c>
      <c r="AF169" s="3">
        <f t="shared" si="90"/>
        <v>7.610619469026549</v>
      </c>
      <c r="AG169">
        <v>146</v>
      </c>
      <c r="AH169" s="3">
        <f t="shared" si="91"/>
        <v>25.840707964601769</v>
      </c>
      <c r="AI169">
        <v>24</v>
      </c>
      <c r="AJ169" s="3">
        <f t="shared" si="92"/>
        <v>4.2477876106194694</v>
      </c>
      <c r="AK169">
        <v>30</v>
      </c>
      <c r="AL169" s="3">
        <f t="shared" si="93"/>
        <v>5.3097345132743365</v>
      </c>
      <c r="AM169">
        <v>11</v>
      </c>
      <c r="AN169" s="3">
        <f t="shared" si="94"/>
        <v>1.9469026548672566</v>
      </c>
      <c r="AO169">
        <v>205</v>
      </c>
      <c r="AP169" s="3">
        <f t="shared" si="95"/>
        <v>36.283185840707965</v>
      </c>
      <c r="AQ169">
        <v>18</v>
      </c>
      <c r="AR169" s="3">
        <f t="shared" si="96"/>
        <v>3.1858407079646018</v>
      </c>
      <c r="AS169">
        <v>7</v>
      </c>
      <c r="AT169" s="3">
        <f t="shared" si="97"/>
        <v>1.2389380530973451</v>
      </c>
      <c r="AU169" t="s">
        <v>315</v>
      </c>
      <c r="AV169" s="72">
        <f>Дума_партии[[#This Row],[КОИБ]]</f>
        <v>2017</v>
      </c>
      <c r="AW169" s="1" t="str">
        <f>IF(Дума_партии[[#This Row],[Наблюдателей]]=0,"",Дума_партии[[#This Row],[Наблюдателей]])</f>
        <v/>
      </c>
      <c r="AX169"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-8.7867036011080586</v>
      </c>
      <c r="AY169" s="10">
        <f>2*(Дума_одномандатный[[#This Row],[Майданов Денис Васильевич]]-(AC$203/100)*Дума_одномандатный[[#This Row],[Число действительных избирательных бюллетеней]])</f>
        <v>-12.688000000000045</v>
      </c>
      <c r="AZ169" s="10">
        <f>(Дума_одномандатный[[#This Row],[Вброс]]+Дума_одномандатный[[#This Row],[Перекладывание]])/2</f>
        <v>-10.737351800554052</v>
      </c>
    </row>
    <row r="170" spans="1:52" x14ac:dyDescent="0.4">
      <c r="A170" t="s">
        <v>49</v>
      </c>
      <c r="B170" t="s">
        <v>50</v>
      </c>
      <c r="C170" t="s">
        <v>51</v>
      </c>
      <c r="D170" t="s">
        <v>227</v>
      </c>
      <c r="E170" t="s">
        <v>298</v>
      </c>
      <c r="F170" s="1">
        <f t="shared" ca="1" si="82"/>
        <v>2045</v>
      </c>
      <c r="G170" s="8" t="str">
        <f>Дума_партии[[#This Row],[Местоположение]]</f>
        <v>Немчиновка</v>
      </c>
      <c r="H170" s="2" t="str">
        <f>LEFT(Дума_одномандатный[[#This Row],[tik]],4)&amp;"."&amp;IF(ISNUMBER(VALUE(RIGHT(Дума_одномандатный[[#This Row],[tik]]))),RIGHT(Дума_одномандатный[[#This Row],[tik]]),"")</f>
        <v>Один.2</v>
      </c>
      <c r="I170">
        <v>2958</v>
      </c>
      <c r="J170" s="8">
        <f>Дума_одномандатный[[#This Row],[Число избирателей, внесенных в список избирателей на момент окончания голосования]]</f>
        <v>2958</v>
      </c>
      <c r="K170">
        <v>2500</v>
      </c>
      <c r="L170">
        <v>0</v>
      </c>
      <c r="M170">
        <v>714</v>
      </c>
      <c r="N170">
        <v>18</v>
      </c>
      <c r="O170" s="3">
        <f t="shared" si="83"/>
        <v>24.746450304259636</v>
      </c>
      <c r="P170" s="3">
        <f t="shared" si="84"/>
        <v>0.60851926977687631</v>
      </c>
      <c r="Q170">
        <v>1768</v>
      </c>
      <c r="R170">
        <v>18</v>
      </c>
      <c r="S170">
        <v>714</v>
      </c>
      <c r="T170" s="1">
        <f t="shared" si="85"/>
        <v>732</v>
      </c>
      <c r="U170" s="3">
        <f t="shared" si="86"/>
        <v>2.459016393442623</v>
      </c>
      <c r="V170">
        <v>53</v>
      </c>
      <c r="W170" s="3">
        <f t="shared" si="87"/>
        <v>7.2404371584699456</v>
      </c>
      <c r="X170">
        <v>679</v>
      </c>
      <c r="Y170">
        <v>0</v>
      </c>
      <c r="Z170">
        <v>0</v>
      </c>
      <c r="AA170">
        <v>26</v>
      </c>
      <c r="AB170" s="3">
        <f t="shared" si="88"/>
        <v>3.5519125683060109</v>
      </c>
      <c r="AC170">
        <v>50</v>
      </c>
      <c r="AD170" s="3">
        <f t="shared" si="89"/>
        <v>6.8306010928961749</v>
      </c>
      <c r="AE170">
        <v>56</v>
      </c>
      <c r="AF170" s="3">
        <f t="shared" si="90"/>
        <v>7.6502732240437155</v>
      </c>
      <c r="AG170">
        <v>165</v>
      </c>
      <c r="AH170" s="3">
        <f t="shared" si="91"/>
        <v>22.540983606557376</v>
      </c>
      <c r="AI170">
        <v>38</v>
      </c>
      <c r="AJ170" s="3">
        <f t="shared" si="92"/>
        <v>5.1912568306010929</v>
      </c>
      <c r="AK170">
        <v>49</v>
      </c>
      <c r="AL170" s="3">
        <f t="shared" si="93"/>
        <v>6.693989071038251</v>
      </c>
      <c r="AM170">
        <v>21</v>
      </c>
      <c r="AN170" s="3">
        <f t="shared" si="94"/>
        <v>2.8688524590163933</v>
      </c>
      <c r="AO170">
        <v>214</v>
      </c>
      <c r="AP170" s="3">
        <f t="shared" si="95"/>
        <v>29.234972677595628</v>
      </c>
      <c r="AQ170">
        <v>42</v>
      </c>
      <c r="AR170" s="3">
        <f t="shared" si="96"/>
        <v>5.7377049180327866</v>
      </c>
      <c r="AS170">
        <v>18</v>
      </c>
      <c r="AT170" s="3">
        <f t="shared" si="97"/>
        <v>2.459016393442623</v>
      </c>
      <c r="AU170" t="s">
        <v>315</v>
      </c>
      <c r="AV170" s="72" t="str">
        <f>Дума_партии[[#This Row],[КОИБ]]</f>
        <v>N</v>
      </c>
      <c r="AW170" s="1">
        <f>IF(Дума_партии[[#This Row],[Наблюдателей]]=0,"",Дума_партии[[#This Row],[Наблюдателей]])</f>
        <v>1</v>
      </c>
      <c r="AX170"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-32.91135734072023</v>
      </c>
      <c r="AY170" s="10">
        <f>2*(Дума_одномандатный[[#This Row],[Майданов Денис Васильевич]]-(AC$203/100)*Дума_одномандатный[[#This Row],[Число действительных избирательных бюллетеней]])</f>
        <v>-47.524000000000058</v>
      </c>
      <c r="AZ170" s="10">
        <f>(Дума_одномандатный[[#This Row],[Вброс]]+Дума_одномандатный[[#This Row],[Перекладывание]])/2</f>
        <v>-40.217678670360144</v>
      </c>
    </row>
    <row r="171" spans="1:52" x14ac:dyDescent="0.4">
      <c r="A171" t="s">
        <v>49</v>
      </c>
      <c r="B171" t="s">
        <v>50</v>
      </c>
      <c r="C171" t="s">
        <v>51</v>
      </c>
      <c r="D171" t="s">
        <v>227</v>
      </c>
      <c r="E171" t="s">
        <v>299</v>
      </c>
      <c r="F171" s="1">
        <f t="shared" ca="1" si="82"/>
        <v>2046</v>
      </c>
      <c r="G171" s="8" t="str">
        <f>Дума_партии[[#This Row],[Местоположение]]</f>
        <v>Немчиновка</v>
      </c>
      <c r="H171" s="2" t="str">
        <f>LEFT(Дума_одномандатный[[#This Row],[tik]],4)&amp;"."&amp;IF(ISNUMBER(VALUE(RIGHT(Дума_одномандатный[[#This Row],[tik]]))),RIGHT(Дума_одномандатный[[#This Row],[tik]]),"")</f>
        <v>Один.2</v>
      </c>
      <c r="I171">
        <v>749</v>
      </c>
      <c r="J171" s="8">
        <f>Дума_одномандатный[[#This Row],[Число избирателей, внесенных в список избирателей на момент окончания голосования]]</f>
        <v>749</v>
      </c>
      <c r="K171">
        <v>600</v>
      </c>
      <c r="L171">
        <v>0</v>
      </c>
      <c r="M171">
        <v>119</v>
      </c>
      <c r="N171">
        <v>6</v>
      </c>
      <c r="O171" s="3">
        <f t="shared" si="83"/>
        <v>16.688918558077436</v>
      </c>
      <c r="P171" s="3">
        <f t="shared" si="84"/>
        <v>0.8010680907877169</v>
      </c>
      <c r="Q171">
        <v>475</v>
      </c>
      <c r="R171">
        <v>6</v>
      </c>
      <c r="S171">
        <v>113</v>
      </c>
      <c r="T171" s="1">
        <f t="shared" si="85"/>
        <v>119</v>
      </c>
      <c r="U171" s="3">
        <f t="shared" si="86"/>
        <v>5.0420168067226889</v>
      </c>
      <c r="V171">
        <v>6</v>
      </c>
      <c r="W171" s="3">
        <f t="shared" si="87"/>
        <v>5.0420168067226889</v>
      </c>
      <c r="X171">
        <v>113</v>
      </c>
      <c r="Y171">
        <v>0</v>
      </c>
      <c r="Z171">
        <v>0</v>
      </c>
      <c r="AA171">
        <v>7</v>
      </c>
      <c r="AB171" s="3">
        <f t="shared" si="88"/>
        <v>5.882352941176471</v>
      </c>
      <c r="AC171">
        <v>12</v>
      </c>
      <c r="AD171" s="3">
        <f t="shared" si="89"/>
        <v>10.084033613445378</v>
      </c>
      <c r="AE171">
        <v>8</v>
      </c>
      <c r="AF171" s="3">
        <f t="shared" si="90"/>
        <v>6.7226890756302522</v>
      </c>
      <c r="AG171">
        <v>30</v>
      </c>
      <c r="AH171" s="3">
        <f t="shared" si="91"/>
        <v>25.210084033613445</v>
      </c>
      <c r="AI171">
        <v>0</v>
      </c>
      <c r="AJ171" s="3">
        <f t="shared" si="92"/>
        <v>0</v>
      </c>
      <c r="AK171">
        <v>10</v>
      </c>
      <c r="AL171" s="3">
        <f t="shared" si="93"/>
        <v>8.4033613445378155</v>
      </c>
      <c r="AM171">
        <v>5</v>
      </c>
      <c r="AN171" s="3">
        <f t="shared" si="94"/>
        <v>4.2016806722689077</v>
      </c>
      <c r="AO171">
        <v>39</v>
      </c>
      <c r="AP171" s="3">
        <f t="shared" si="95"/>
        <v>32.773109243697476</v>
      </c>
      <c r="AQ171">
        <v>0</v>
      </c>
      <c r="AR171" s="3">
        <f t="shared" si="96"/>
        <v>0</v>
      </c>
      <c r="AS171">
        <v>2</v>
      </c>
      <c r="AT171" s="3">
        <f t="shared" si="97"/>
        <v>1.680672268907563</v>
      </c>
      <c r="AU171" t="s">
        <v>315</v>
      </c>
      <c r="AV171" s="72">
        <f>Дума_партии[[#This Row],[КОИБ]]</f>
        <v>2017</v>
      </c>
      <c r="AW171" s="1" t="str">
        <f>IF(Дума_партии[[#This Row],[Наблюдателей]]=0,"",Дума_партии[[#This Row],[Наблюдателей]])</f>
        <v/>
      </c>
      <c r="AX171"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-1.9584487534626085</v>
      </c>
      <c r="AY171" s="10">
        <f>2*(Дума_одномандатный[[#This Row],[Майданов Денис Васильевич]]-(AC$203/100)*Дума_одномандатный[[#This Row],[Число действительных избирательных бюллетеней]])</f>
        <v>-2.828000000000003</v>
      </c>
      <c r="AZ171" s="10">
        <f>(Дума_одномандатный[[#This Row],[Вброс]]+Дума_одномандатный[[#This Row],[Перекладывание]])/2</f>
        <v>-2.3932243767313057</v>
      </c>
    </row>
    <row r="172" spans="1:52" x14ac:dyDescent="0.4">
      <c r="A172" t="s">
        <v>49</v>
      </c>
      <c r="B172" t="s">
        <v>50</v>
      </c>
      <c r="C172" t="s">
        <v>51</v>
      </c>
      <c r="D172" t="s">
        <v>227</v>
      </c>
      <c r="E172" t="s">
        <v>300</v>
      </c>
      <c r="F172" s="1">
        <f t="shared" ca="1" si="82"/>
        <v>2047</v>
      </c>
      <c r="G172" s="8" t="str">
        <f>Дума_партии[[#This Row],[Местоположение]]</f>
        <v>Ромашково</v>
      </c>
      <c r="H172" s="2" t="str">
        <f>LEFT(Дума_одномандатный[[#This Row],[tik]],4)&amp;"."&amp;IF(ISNUMBER(VALUE(RIGHT(Дума_одномандатный[[#This Row],[tik]]))),RIGHT(Дума_одномандатный[[#This Row],[tik]]),"")</f>
        <v>Один.2</v>
      </c>
      <c r="I172">
        <v>2663</v>
      </c>
      <c r="J172" s="8">
        <f>Дума_одномандатный[[#This Row],[Число избирателей, внесенных в список избирателей на момент окончания голосования]]</f>
        <v>2663</v>
      </c>
      <c r="K172">
        <v>2000</v>
      </c>
      <c r="L172">
        <v>0</v>
      </c>
      <c r="M172">
        <v>528</v>
      </c>
      <c r="N172">
        <v>26</v>
      </c>
      <c r="O172" s="3">
        <f t="shared" si="83"/>
        <v>20.803604956815622</v>
      </c>
      <c r="P172" s="3">
        <f t="shared" si="84"/>
        <v>0.97634247089748405</v>
      </c>
      <c r="Q172">
        <v>1446</v>
      </c>
      <c r="R172">
        <v>26</v>
      </c>
      <c r="S172">
        <v>528</v>
      </c>
      <c r="T172" s="1">
        <f t="shared" si="85"/>
        <v>554</v>
      </c>
      <c r="U172" s="3">
        <f t="shared" si="86"/>
        <v>4.6931407942238268</v>
      </c>
      <c r="V172">
        <v>30</v>
      </c>
      <c r="W172" s="3">
        <f t="shared" si="87"/>
        <v>5.4151624548736459</v>
      </c>
      <c r="X172">
        <v>524</v>
      </c>
      <c r="Y172">
        <v>0</v>
      </c>
      <c r="Z172">
        <v>0</v>
      </c>
      <c r="AA172">
        <v>24</v>
      </c>
      <c r="AB172" s="3">
        <f t="shared" si="88"/>
        <v>4.3321299638989172</v>
      </c>
      <c r="AC172">
        <v>38</v>
      </c>
      <c r="AD172" s="3">
        <f t="shared" si="89"/>
        <v>6.859205776173285</v>
      </c>
      <c r="AE172">
        <v>43</v>
      </c>
      <c r="AF172" s="3">
        <f t="shared" si="90"/>
        <v>7.7617328519855597</v>
      </c>
      <c r="AG172">
        <v>107</v>
      </c>
      <c r="AH172" s="3">
        <f t="shared" si="91"/>
        <v>19.314079422382672</v>
      </c>
      <c r="AI172">
        <v>25</v>
      </c>
      <c r="AJ172" s="3">
        <f t="shared" si="92"/>
        <v>4.512635379061372</v>
      </c>
      <c r="AK172">
        <v>28</v>
      </c>
      <c r="AL172" s="3">
        <f t="shared" si="93"/>
        <v>5.0541516245487363</v>
      </c>
      <c r="AM172">
        <v>17</v>
      </c>
      <c r="AN172" s="3">
        <f t="shared" si="94"/>
        <v>3.0685920577617329</v>
      </c>
      <c r="AO172">
        <v>216</v>
      </c>
      <c r="AP172" s="3">
        <f t="shared" si="95"/>
        <v>38.989169675090253</v>
      </c>
      <c r="AQ172">
        <v>17</v>
      </c>
      <c r="AR172" s="3">
        <f t="shared" si="96"/>
        <v>3.0685920577617329</v>
      </c>
      <c r="AS172">
        <v>9</v>
      </c>
      <c r="AT172" s="3">
        <f t="shared" si="97"/>
        <v>1.6245487364620939</v>
      </c>
      <c r="AU172" t="s">
        <v>315</v>
      </c>
      <c r="AV172" s="72" t="str">
        <f>Дума_партии[[#This Row],[КОИБ]]</f>
        <v>N</v>
      </c>
      <c r="AW172" s="1">
        <f>IF(Дума_партии[[#This Row],[Наблюдателей]]=0,"",Дума_партии[[#This Row],[Наблюдателей]])</f>
        <v>1</v>
      </c>
      <c r="AX172"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-53.5623268698061</v>
      </c>
      <c r="AY172" s="10">
        <f>2*(Дума_одномандатный[[#This Row],[Майданов Денис Васильевич]]-(AC$203/100)*Дума_одномандатный[[#This Row],[Число действительных избирательных бюллетеней]])</f>
        <v>-77.344000000000051</v>
      </c>
      <c r="AZ172" s="10">
        <f>(Дума_одномандатный[[#This Row],[Вброс]]+Дума_одномандатный[[#This Row],[Перекладывание]])/2</f>
        <v>-65.453163434903075</v>
      </c>
    </row>
    <row r="173" spans="1:52" x14ac:dyDescent="0.4">
      <c r="A173" t="s">
        <v>49</v>
      </c>
      <c r="B173" t="s">
        <v>50</v>
      </c>
      <c r="C173" t="s">
        <v>51</v>
      </c>
      <c r="D173" t="s">
        <v>227</v>
      </c>
      <c r="E173" t="s">
        <v>301</v>
      </c>
      <c r="F173" s="1">
        <f t="shared" ca="1" si="82"/>
        <v>2070</v>
      </c>
      <c r="G173" s="8" t="str">
        <f>Дума_партии[[#This Row],[Местоположение]]</f>
        <v>Заречье</v>
      </c>
      <c r="H173" s="2" t="str">
        <f>LEFT(Дума_одномандатный[[#This Row],[tik]],4)&amp;"."&amp;IF(ISNUMBER(VALUE(RIGHT(Дума_одномандатный[[#This Row],[tik]]))),RIGHT(Дума_одномандатный[[#This Row],[tik]]),"")</f>
        <v>Один.2</v>
      </c>
      <c r="I173">
        <v>1277</v>
      </c>
      <c r="J173" s="8">
        <f>Дума_одномандатный[[#This Row],[Число избирателей, внесенных в список избирателей на момент окончания голосования]]</f>
        <v>1277</v>
      </c>
      <c r="K173">
        <v>1000</v>
      </c>
      <c r="L173">
        <v>0</v>
      </c>
      <c r="M173">
        <v>491</v>
      </c>
      <c r="N173">
        <v>52</v>
      </c>
      <c r="O173" s="3">
        <f t="shared" si="83"/>
        <v>42.521534847298355</v>
      </c>
      <c r="P173" s="3">
        <f t="shared" si="84"/>
        <v>4.0720438527799532</v>
      </c>
      <c r="Q173">
        <v>457</v>
      </c>
      <c r="R173">
        <v>52</v>
      </c>
      <c r="S173">
        <v>491</v>
      </c>
      <c r="T173" s="1">
        <f t="shared" si="85"/>
        <v>543</v>
      </c>
      <c r="U173" s="3">
        <f t="shared" si="86"/>
        <v>9.5764272559852675</v>
      </c>
      <c r="V173">
        <v>24</v>
      </c>
      <c r="W173" s="3">
        <f t="shared" si="87"/>
        <v>4.4198895027624312</v>
      </c>
      <c r="X173">
        <v>519</v>
      </c>
      <c r="Y173">
        <v>0</v>
      </c>
      <c r="Z173">
        <v>0</v>
      </c>
      <c r="AA173">
        <v>19</v>
      </c>
      <c r="AB173" s="3">
        <f t="shared" si="88"/>
        <v>3.4990791896869244</v>
      </c>
      <c r="AC173">
        <v>17</v>
      </c>
      <c r="AD173" s="3">
        <f t="shared" si="89"/>
        <v>3.1307550644567219</v>
      </c>
      <c r="AE173">
        <v>41</v>
      </c>
      <c r="AF173" s="3">
        <f t="shared" si="90"/>
        <v>7.5506445672191527</v>
      </c>
      <c r="AG173">
        <v>243</v>
      </c>
      <c r="AH173" s="3">
        <f t="shared" si="91"/>
        <v>44.751381215469614</v>
      </c>
      <c r="AI173">
        <v>25</v>
      </c>
      <c r="AJ173" s="3">
        <f t="shared" si="92"/>
        <v>4.6040515653775325</v>
      </c>
      <c r="AK173">
        <v>19</v>
      </c>
      <c r="AL173" s="3">
        <f t="shared" si="93"/>
        <v>3.4990791896869244</v>
      </c>
      <c r="AM173">
        <v>17</v>
      </c>
      <c r="AN173" s="3">
        <f t="shared" si="94"/>
        <v>3.1307550644567219</v>
      </c>
      <c r="AO173">
        <v>113</v>
      </c>
      <c r="AP173" s="3">
        <f t="shared" si="95"/>
        <v>20.810313075506446</v>
      </c>
      <c r="AQ173">
        <v>16</v>
      </c>
      <c r="AR173" s="3">
        <f t="shared" si="96"/>
        <v>2.9465930018416207</v>
      </c>
      <c r="AS173">
        <v>9</v>
      </c>
      <c r="AT173" s="3">
        <f t="shared" si="97"/>
        <v>1.6574585635359116</v>
      </c>
      <c r="AU173" t="s">
        <v>315</v>
      </c>
      <c r="AV173" s="72">
        <f>Дума_партии[[#This Row],[КОИБ]]</f>
        <v>2017</v>
      </c>
      <c r="AW173" s="1" t="str">
        <f>IF(Дума_партии[[#This Row],[Наблюдателей]]=0,"",Дума_партии[[#This Row],[Наблюдателей]])</f>
        <v/>
      </c>
      <c r="AX173"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136.72853185595568</v>
      </c>
      <c r="AY173" s="10">
        <f>2*(Дума_одномандатный[[#This Row],[Майданов Денис Васильевич]]-(AC$203/100)*Дума_одномандатный[[#This Row],[Число действительных избирательных бюллетеней]])</f>
        <v>197.43599999999998</v>
      </c>
      <c r="AZ173" s="10">
        <f>(Дума_одномандатный[[#This Row],[Вброс]]+Дума_одномандатный[[#This Row],[Перекладывание]])/2</f>
        <v>167.08226592797783</v>
      </c>
    </row>
    <row r="174" spans="1:52" x14ac:dyDescent="0.4">
      <c r="A174" t="s">
        <v>49</v>
      </c>
      <c r="B174" t="s">
        <v>50</v>
      </c>
      <c r="C174" t="s">
        <v>51</v>
      </c>
      <c r="D174" t="s">
        <v>227</v>
      </c>
      <c r="E174" t="s">
        <v>302</v>
      </c>
      <c r="F174" s="1">
        <f t="shared" ca="1" si="82"/>
        <v>2071</v>
      </c>
      <c r="G174" s="8" t="str">
        <f>Дума_партии[[#This Row],[Местоположение]]</f>
        <v>Заречье</v>
      </c>
      <c r="H174" s="2" t="str">
        <f>LEFT(Дума_одномандатный[[#This Row],[tik]],4)&amp;"."&amp;IF(ISNUMBER(VALUE(RIGHT(Дума_одномандатный[[#This Row],[tik]]))),RIGHT(Дума_одномандатный[[#This Row],[tik]]),"")</f>
        <v>Один.2</v>
      </c>
      <c r="I174">
        <v>1083</v>
      </c>
      <c r="J174" s="8">
        <f>Дума_одномандатный[[#This Row],[Число избирателей, внесенных в список избирателей на момент окончания голосования]]</f>
        <v>1083</v>
      </c>
      <c r="K174">
        <v>900</v>
      </c>
      <c r="L174">
        <v>0</v>
      </c>
      <c r="M174">
        <v>277</v>
      </c>
      <c r="N174">
        <v>94</v>
      </c>
      <c r="O174" s="3">
        <f t="shared" si="83"/>
        <v>34.256694367497694</v>
      </c>
      <c r="P174" s="3">
        <f t="shared" si="84"/>
        <v>8.6795937211449683</v>
      </c>
      <c r="Q174">
        <v>529</v>
      </c>
      <c r="R174">
        <v>94</v>
      </c>
      <c r="S174">
        <v>277</v>
      </c>
      <c r="T174" s="1">
        <f t="shared" si="85"/>
        <v>371</v>
      </c>
      <c r="U174" s="3">
        <f t="shared" si="86"/>
        <v>25.336927223719677</v>
      </c>
      <c r="V174">
        <v>9</v>
      </c>
      <c r="W174" s="3">
        <f t="shared" si="87"/>
        <v>2.4258760107816713</v>
      </c>
      <c r="X174">
        <v>362</v>
      </c>
      <c r="Y174">
        <v>0</v>
      </c>
      <c r="Z174">
        <v>0</v>
      </c>
      <c r="AA174">
        <v>19</v>
      </c>
      <c r="AB174" s="3">
        <f t="shared" si="88"/>
        <v>5.1212938005390836</v>
      </c>
      <c r="AC174">
        <v>17</v>
      </c>
      <c r="AD174" s="3">
        <f t="shared" si="89"/>
        <v>4.5822102425876015</v>
      </c>
      <c r="AE174">
        <v>21</v>
      </c>
      <c r="AF174" s="3">
        <f t="shared" si="90"/>
        <v>5.6603773584905657</v>
      </c>
      <c r="AG174">
        <v>175</v>
      </c>
      <c r="AH174" s="3">
        <f t="shared" si="91"/>
        <v>47.169811320754718</v>
      </c>
      <c r="AI174">
        <v>17</v>
      </c>
      <c r="AJ174" s="3">
        <f t="shared" si="92"/>
        <v>4.5822102425876015</v>
      </c>
      <c r="AK174">
        <v>13</v>
      </c>
      <c r="AL174" s="3">
        <f t="shared" si="93"/>
        <v>3.5040431266846359</v>
      </c>
      <c r="AM174">
        <v>15</v>
      </c>
      <c r="AN174" s="3">
        <f t="shared" si="94"/>
        <v>4.0431266846361185</v>
      </c>
      <c r="AO174">
        <v>74</v>
      </c>
      <c r="AP174" s="3">
        <f t="shared" si="95"/>
        <v>19.946091644204852</v>
      </c>
      <c r="AQ174">
        <v>5</v>
      </c>
      <c r="AR174" s="3">
        <f t="shared" si="96"/>
        <v>1.3477088948787062</v>
      </c>
      <c r="AS174">
        <v>6</v>
      </c>
      <c r="AT174" s="3">
        <f t="shared" si="97"/>
        <v>1.6172506738544474</v>
      </c>
      <c r="AU174" t="s">
        <v>315</v>
      </c>
      <c r="AV174" s="72">
        <f>Дума_партии[[#This Row],[КОИБ]]</f>
        <v>2017</v>
      </c>
      <c r="AW174" s="1" t="str">
        <f>IF(Дума_партии[[#This Row],[Наблюдателей]]=0,"",Дума_партии[[#This Row],[Наблюдателей]])</f>
        <v/>
      </c>
      <c r="AX174"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102.9972299168975</v>
      </c>
      <c r="AY174" s="10">
        <f>2*(Дума_одномандатный[[#This Row],[Майданов Денис Васильевич]]-(AC$203/100)*Дума_одномандатный[[#This Row],[Число действительных избирательных бюллетеней]])</f>
        <v>148.72799999999998</v>
      </c>
      <c r="AZ174" s="10">
        <f>(Дума_одномандатный[[#This Row],[Вброс]]+Дума_одномандатный[[#This Row],[Перекладывание]])/2</f>
        <v>125.86261495844875</v>
      </c>
    </row>
    <row r="175" spans="1:52" x14ac:dyDescent="0.4">
      <c r="A175" t="s">
        <v>49</v>
      </c>
      <c r="B175" t="s">
        <v>50</v>
      </c>
      <c r="C175" t="s">
        <v>51</v>
      </c>
      <c r="D175" t="s">
        <v>227</v>
      </c>
      <c r="E175" t="s">
        <v>303</v>
      </c>
      <c r="F175" s="1">
        <f t="shared" ca="1" si="82"/>
        <v>2072</v>
      </c>
      <c r="G175" s="8" t="str">
        <f>Дума_партии[[#This Row],[Местоположение]]</f>
        <v>Заречье</v>
      </c>
      <c r="H175" s="2" t="str">
        <f>LEFT(Дума_одномандатный[[#This Row],[tik]],4)&amp;"."&amp;IF(ISNUMBER(VALUE(RIGHT(Дума_одномандатный[[#This Row],[tik]]))),RIGHT(Дума_одномандатный[[#This Row],[tik]]),"")</f>
        <v>Один.2</v>
      </c>
      <c r="I175">
        <v>1232</v>
      </c>
      <c r="J175" s="8">
        <f>Дума_одномандатный[[#This Row],[Число избирателей, внесенных в список избирателей на момент окончания голосования]]</f>
        <v>1232</v>
      </c>
      <c r="K175">
        <v>1000</v>
      </c>
      <c r="L175">
        <v>0</v>
      </c>
      <c r="M175">
        <v>382</v>
      </c>
      <c r="N175">
        <v>5</v>
      </c>
      <c r="O175" s="3">
        <f t="shared" si="83"/>
        <v>31.412337662337663</v>
      </c>
      <c r="P175" s="3">
        <f t="shared" si="84"/>
        <v>0.40584415584415584</v>
      </c>
      <c r="Q175">
        <v>613</v>
      </c>
      <c r="R175">
        <v>5</v>
      </c>
      <c r="S175">
        <v>382</v>
      </c>
      <c r="T175" s="1">
        <f t="shared" si="85"/>
        <v>387</v>
      </c>
      <c r="U175" s="3">
        <f t="shared" si="86"/>
        <v>1.2919896640826873</v>
      </c>
      <c r="V175">
        <v>30</v>
      </c>
      <c r="W175" s="3">
        <f t="shared" si="87"/>
        <v>7.7519379844961236</v>
      </c>
      <c r="X175">
        <v>357</v>
      </c>
      <c r="Y175">
        <v>0</v>
      </c>
      <c r="Z175">
        <v>0</v>
      </c>
      <c r="AA175">
        <v>8</v>
      </c>
      <c r="AB175" s="3">
        <f t="shared" si="88"/>
        <v>2.0671834625322996</v>
      </c>
      <c r="AC175">
        <v>25</v>
      </c>
      <c r="AD175" s="3">
        <f t="shared" si="89"/>
        <v>6.4599483204134369</v>
      </c>
      <c r="AE175">
        <v>31</v>
      </c>
      <c r="AF175" s="3">
        <f t="shared" si="90"/>
        <v>8.0103359173126609</v>
      </c>
      <c r="AG175">
        <v>100</v>
      </c>
      <c r="AH175" s="3">
        <f t="shared" si="91"/>
        <v>25.839793281653748</v>
      </c>
      <c r="AI175">
        <v>22</v>
      </c>
      <c r="AJ175" s="3">
        <f t="shared" si="92"/>
        <v>5.684754521963824</v>
      </c>
      <c r="AK175">
        <v>26</v>
      </c>
      <c r="AL175" s="3">
        <f t="shared" si="93"/>
        <v>6.7183462532299743</v>
      </c>
      <c r="AM175">
        <v>12</v>
      </c>
      <c r="AN175" s="3">
        <f t="shared" si="94"/>
        <v>3.1007751937984498</v>
      </c>
      <c r="AO175">
        <v>110</v>
      </c>
      <c r="AP175" s="3">
        <f t="shared" si="95"/>
        <v>28.423772609819121</v>
      </c>
      <c r="AQ175">
        <v>17</v>
      </c>
      <c r="AR175" s="3">
        <f t="shared" si="96"/>
        <v>4.3927648578811374</v>
      </c>
      <c r="AS175">
        <v>6</v>
      </c>
      <c r="AT175" s="3">
        <f t="shared" si="97"/>
        <v>1.5503875968992249</v>
      </c>
      <c r="AU175" t="s">
        <v>315</v>
      </c>
      <c r="AV175" s="72">
        <f>Дума_партии[[#This Row],[КОИБ]]</f>
        <v>2017</v>
      </c>
      <c r="AW175" s="1" t="str">
        <f>IF(Дума_партии[[#This Row],[Наблюдателей]]=0,"",Дума_партии[[#This Row],[Наблюдателей]])</f>
        <v/>
      </c>
      <c r="AX175"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1.0443213296398852</v>
      </c>
      <c r="AY175" s="10">
        <f>2*(Дума_одномандатный[[#This Row],[Майданов Денис Васильевич]]-(AC$203/100)*Дума_одномандатный[[#This Row],[Число действительных избирательных бюллетеней]])</f>
        <v>1.5079999999999814</v>
      </c>
      <c r="AZ175" s="10">
        <f>(Дума_одномандатный[[#This Row],[Вброс]]+Дума_одномандатный[[#This Row],[Перекладывание]])/2</f>
        <v>1.2761606648199333</v>
      </c>
    </row>
    <row r="176" spans="1:52" x14ac:dyDescent="0.4">
      <c r="A176" t="s">
        <v>49</v>
      </c>
      <c r="B176" t="s">
        <v>50</v>
      </c>
      <c r="C176" t="s">
        <v>51</v>
      </c>
      <c r="D176" t="s">
        <v>227</v>
      </c>
      <c r="E176" t="s">
        <v>304</v>
      </c>
      <c r="F176" s="1">
        <f t="shared" ca="1" si="82"/>
        <v>2073</v>
      </c>
      <c r="G176" s="8" t="str">
        <f>Дума_партии[[#This Row],[Местоположение]]</f>
        <v>Заречье</v>
      </c>
      <c r="H176" s="2" t="str">
        <f>LEFT(Дума_одномандатный[[#This Row],[tik]],4)&amp;"."&amp;IF(ISNUMBER(VALUE(RIGHT(Дума_одномандатный[[#This Row],[tik]]))),RIGHT(Дума_одномандатный[[#This Row],[tik]]),"")</f>
        <v>Один.2</v>
      </c>
      <c r="I176">
        <v>1032</v>
      </c>
      <c r="J176" s="8">
        <f>Дума_одномандатный[[#This Row],[Число избирателей, внесенных в список избирателей на момент окончания голосования]]</f>
        <v>1032</v>
      </c>
      <c r="K176">
        <v>900</v>
      </c>
      <c r="L176">
        <v>0</v>
      </c>
      <c r="M176">
        <v>313</v>
      </c>
      <c r="N176">
        <v>75</v>
      </c>
      <c r="O176" s="3">
        <f t="shared" si="83"/>
        <v>37.596899224806201</v>
      </c>
      <c r="P176" s="3">
        <f t="shared" si="84"/>
        <v>7.2674418604651159</v>
      </c>
      <c r="Q176">
        <v>512</v>
      </c>
      <c r="R176">
        <v>75</v>
      </c>
      <c r="S176">
        <v>313</v>
      </c>
      <c r="T176" s="1">
        <f t="shared" si="85"/>
        <v>388</v>
      </c>
      <c r="U176" s="3">
        <f t="shared" si="86"/>
        <v>19.329896907216494</v>
      </c>
      <c r="V176">
        <v>13</v>
      </c>
      <c r="W176" s="3">
        <f t="shared" si="87"/>
        <v>3.3505154639175259</v>
      </c>
      <c r="X176">
        <v>375</v>
      </c>
      <c r="Y176">
        <v>0</v>
      </c>
      <c r="Z176">
        <v>0</v>
      </c>
      <c r="AA176">
        <v>15</v>
      </c>
      <c r="AB176" s="3">
        <f t="shared" si="88"/>
        <v>3.865979381443299</v>
      </c>
      <c r="AC176">
        <v>29</v>
      </c>
      <c r="AD176" s="3">
        <f t="shared" si="89"/>
        <v>7.4742268041237114</v>
      </c>
      <c r="AE176">
        <v>28</v>
      </c>
      <c r="AF176" s="3">
        <f t="shared" si="90"/>
        <v>7.2164948453608249</v>
      </c>
      <c r="AG176">
        <v>119</v>
      </c>
      <c r="AH176" s="3">
        <f t="shared" si="91"/>
        <v>30.670103092783506</v>
      </c>
      <c r="AI176">
        <v>21</v>
      </c>
      <c r="AJ176" s="3">
        <f t="shared" si="92"/>
        <v>5.4123711340206189</v>
      </c>
      <c r="AK176">
        <v>28</v>
      </c>
      <c r="AL176" s="3">
        <f t="shared" si="93"/>
        <v>7.2164948453608249</v>
      </c>
      <c r="AM176">
        <v>16</v>
      </c>
      <c r="AN176" s="3">
        <f t="shared" si="94"/>
        <v>4.1237113402061851</v>
      </c>
      <c r="AO176">
        <v>101</v>
      </c>
      <c r="AP176" s="3">
        <f t="shared" si="95"/>
        <v>26.030927835051546</v>
      </c>
      <c r="AQ176">
        <v>10</v>
      </c>
      <c r="AR176" s="3">
        <f t="shared" si="96"/>
        <v>2.5773195876288661</v>
      </c>
      <c r="AS176">
        <v>8</v>
      </c>
      <c r="AT176" s="3">
        <f t="shared" si="97"/>
        <v>2.0618556701030926</v>
      </c>
      <c r="AU176" t="s">
        <v>315</v>
      </c>
      <c r="AV176" s="72">
        <f>Дума_партии[[#This Row],[КОИБ]]</f>
        <v>2017</v>
      </c>
      <c r="AW176" s="1" t="str">
        <f>IF(Дума_партии[[#This Row],[Наблюдателей]]=0,"",Дума_партии[[#This Row],[Наблюдателей]])</f>
        <v/>
      </c>
      <c r="AX176"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20.429362880886416</v>
      </c>
      <c r="AY176" s="10">
        <f>2*(Дума_одномандатный[[#This Row],[Майданов Денис Васильевич]]-(AC$203/100)*Дума_одномандатный[[#This Row],[Число действительных избирательных бюллетеней]])</f>
        <v>29.499999999999972</v>
      </c>
      <c r="AZ176" s="10">
        <f>(Дума_одномандатный[[#This Row],[Вброс]]+Дума_одномандатный[[#This Row],[Перекладывание]])/2</f>
        <v>24.964681440443194</v>
      </c>
    </row>
    <row r="177" spans="1:52" x14ac:dyDescent="0.4">
      <c r="A177" t="s">
        <v>49</v>
      </c>
      <c r="B177" t="s">
        <v>50</v>
      </c>
      <c r="C177" t="s">
        <v>51</v>
      </c>
      <c r="D177" t="s">
        <v>227</v>
      </c>
      <c r="E177" t="s">
        <v>305</v>
      </c>
      <c r="F177" s="1">
        <f t="shared" ca="1" si="82"/>
        <v>3940</v>
      </c>
      <c r="G177" s="8" t="str">
        <f>Дума_партии[[#This Row],[Местоположение]]</f>
        <v>Новоивановское</v>
      </c>
      <c r="H177" s="2" t="str">
        <f>LEFT(Дума_одномандатный[[#This Row],[tik]],4)&amp;"."&amp;IF(ISNUMBER(VALUE(RIGHT(Дума_одномандатный[[#This Row],[tik]]))),RIGHT(Дума_одномандатный[[#This Row],[tik]]),"")</f>
        <v>Один.2</v>
      </c>
      <c r="I177">
        <v>1715</v>
      </c>
      <c r="J177" s="8">
        <f>Дума_одномандатный[[#This Row],[Число избирателей, внесенных в список избирателей на момент окончания голосования]]</f>
        <v>1715</v>
      </c>
      <c r="K177">
        <v>1500</v>
      </c>
      <c r="L177">
        <v>0</v>
      </c>
      <c r="M177">
        <v>573</v>
      </c>
      <c r="N177">
        <v>65</v>
      </c>
      <c r="O177" s="3">
        <f t="shared" si="83"/>
        <v>37.201166180758015</v>
      </c>
      <c r="P177" s="3">
        <f t="shared" si="84"/>
        <v>3.7900874635568513</v>
      </c>
      <c r="Q177">
        <v>862</v>
      </c>
      <c r="R177">
        <v>65</v>
      </c>
      <c r="S177">
        <v>508</v>
      </c>
      <c r="T177" s="1">
        <f t="shared" si="85"/>
        <v>573</v>
      </c>
      <c r="U177" s="3">
        <f t="shared" si="86"/>
        <v>11.343804537521814</v>
      </c>
      <c r="V177">
        <v>34</v>
      </c>
      <c r="W177" s="3">
        <f t="shared" si="87"/>
        <v>5.9336823734729496</v>
      </c>
      <c r="X177">
        <v>539</v>
      </c>
      <c r="Y177">
        <v>0</v>
      </c>
      <c r="Z177">
        <v>0</v>
      </c>
      <c r="AA177">
        <v>19</v>
      </c>
      <c r="AB177" s="3">
        <f t="shared" si="88"/>
        <v>3.3158813263525304</v>
      </c>
      <c r="AC177">
        <v>35</v>
      </c>
      <c r="AD177" s="3">
        <f t="shared" si="89"/>
        <v>6.1082024432809776</v>
      </c>
      <c r="AE177">
        <v>38</v>
      </c>
      <c r="AF177" s="3">
        <f t="shared" si="90"/>
        <v>6.6317626527050608</v>
      </c>
      <c r="AG177">
        <v>240</v>
      </c>
      <c r="AH177" s="3">
        <f t="shared" si="91"/>
        <v>41.8848167539267</v>
      </c>
      <c r="AI177">
        <v>22</v>
      </c>
      <c r="AJ177" s="3">
        <f t="shared" si="92"/>
        <v>3.8394415357766145</v>
      </c>
      <c r="AK177">
        <v>16</v>
      </c>
      <c r="AL177" s="3">
        <f t="shared" si="93"/>
        <v>2.7923211169284468</v>
      </c>
      <c r="AM177">
        <v>22</v>
      </c>
      <c r="AN177" s="3">
        <f t="shared" si="94"/>
        <v>3.8394415357766145</v>
      </c>
      <c r="AO177">
        <v>123</v>
      </c>
      <c r="AP177" s="3">
        <f t="shared" si="95"/>
        <v>21.465968586387433</v>
      </c>
      <c r="AQ177">
        <v>12</v>
      </c>
      <c r="AR177" s="3">
        <f t="shared" si="96"/>
        <v>2.0942408376963351</v>
      </c>
      <c r="AS177">
        <v>12</v>
      </c>
      <c r="AT177" s="3">
        <f t="shared" si="97"/>
        <v>2.0942408376963351</v>
      </c>
      <c r="AU177" t="s">
        <v>315</v>
      </c>
      <c r="AV177" s="72">
        <f>Дума_партии[[#This Row],[КОИБ]]</f>
        <v>2017</v>
      </c>
      <c r="AW177" s="1" t="str">
        <f>IF(Дума_партии[[#This Row],[Наблюдателей]]=0,"",Дума_партии[[#This Row],[Наблюдателей]])</f>
        <v/>
      </c>
      <c r="AX177"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124.87257617728531</v>
      </c>
      <c r="AY177" s="10">
        <f>2*(Дума_одномандатный[[#This Row],[Майданов Денис Васильевич]]-(AC$203/100)*Дума_одномандатный[[#This Row],[Число действительных избирательных бюллетеней]])</f>
        <v>180.31599999999997</v>
      </c>
      <c r="AZ177" s="10">
        <f>(Дума_одномандатный[[#This Row],[Вброс]]+Дума_одномандатный[[#This Row],[Перекладывание]])/2</f>
        <v>152.59428808864266</v>
      </c>
    </row>
    <row r="178" spans="1:52" x14ac:dyDescent="0.4">
      <c r="A178" t="s">
        <v>49</v>
      </c>
      <c r="B178" t="s">
        <v>50</v>
      </c>
      <c r="C178" t="s">
        <v>51</v>
      </c>
      <c r="D178" t="s">
        <v>227</v>
      </c>
      <c r="E178" t="s">
        <v>306</v>
      </c>
      <c r="F178" s="1">
        <f t="shared" ca="1" si="82"/>
        <v>3941</v>
      </c>
      <c r="G178" s="8" t="str">
        <f>Дума_партии[[#This Row],[Местоположение]]</f>
        <v>Новоивановское</v>
      </c>
      <c r="H178" s="2" t="str">
        <f>LEFT(Дума_одномандатный[[#This Row],[tik]],4)&amp;"."&amp;IF(ISNUMBER(VALUE(RIGHT(Дума_одномандатный[[#This Row],[tik]]))),RIGHT(Дума_одномандатный[[#This Row],[tik]]),"")</f>
        <v>Один.2</v>
      </c>
      <c r="I178">
        <v>1709</v>
      </c>
      <c r="J178" s="8">
        <f>Дума_одномандатный[[#This Row],[Число избирателей, внесенных в список избирателей на момент окончания голосования]]</f>
        <v>1709</v>
      </c>
      <c r="K178">
        <v>1500</v>
      </c>
      <c r="L178">
        <v>0</v>
      </c>
      <c r="M178">
        <v>735</v>
      </c>
      <c r="N178">
        <v>112</v>
      </c>
      <c r="O178" s="3">
        <f t="shared" si="83"/>
        <v>49.561146869514339</v>
      </c>
      <c r="P178" s="3">
        <f t="shared" si="84"/>
        <v>6.5535400819192509</v>
      </c>
      <c r="Q178">
        <v>653</v>
      </c>
      <c r="R178">
        <v>112</v>
      </c>
      <c r="S178">
        <v>735</v>
      </c>
      <c r="T178" s="1">
        <f t="shared" si="85"/>
        <v>847</v>
      </c>
      <c r="U178" s="3">
        <f t="shared" si="86"/>
        <v>13.223140495867769</v>
      </c>
      <c r="V178">
        <v>22</v>
      </c>
      <c r="W178" s="3">
        <f t="shared" si="87"/>
        <v>2.5974025974025974</v>
      </c>
      <c r="X178">
        <v>825</v>
      </c>
      <c r="Y178">
        <v>0</v>
      </c>
      <c r="Z178">
        <v>0</v>
      </c>
      <c r="AA178">
        <v>25</v>
      </c>
      <c r="AB178" s="3">
        <f t="shared" si="88"/>
        <v>2.9515938606847696</v>
      </c>
      <c r="AC178">
        <v>48</v>
      </c>
      <c r="AD178" s="3">
        <f t="shared" si="89"/>
        <v>5.667060212514758</v>
      </c>
      <c r="AE178">
        <v>66</v>
      </c>
      <c r="AF178" s="3">
        <f t="shared" si="90"/>
        <v>7.7922077922077921</v>
      </c>
      <c r="AG178">
        <v>315</v>
      </c>
      <c r="AH178" s="3">
        <f t="shared" si="91"/>
        <v>37.190082644628099</v>
      </c>
      <c r="AI178">
        <v>34</v>
      </c>
      <c r="AJ178" s="3">
        <f t="shared" si="92"/>
        <v>4.0141676505312871</v>
      </c>
      <c r="AK178">
        <v>26</v>
      </c>
      <c r="AL178" s="3">
        <f t="shared" si="93"/>
        <v>3.0696576151121606</v>
      </c>
      <c r="AM178">
        <v>19</v>
      </c>
      <c r="AN178" s="3">
        <f t="shared" si="94"/>
        <v>2.2432113341204252</v>
      </c>
      <c r="AO178">
        <v>248</v>
      </c>
      <c r="AP178" s="3">
        <f t="shared" si="95"/>
        <v>29.279811097992916</v>
      </c>
      <c r="AQ178">
        <v>26</v>
      </c>
      <c r="AR178" s="3">
        <f t="shared" si="96"/>
        <v>3.0696576151121606</v>
      </c>
      <c r="AS178">
        <v>18</v>
      </c>
      <c r="AT178" s="3">
        <f t="shared" si="97"/>
        <v>2.1251475796930341</v>
      </c>
      <c r="AU178" t="s">
        <v>315</v>
      </c>
      <c r="AV178" s="72">
        <f>Дума_партии[[#This Row],[КОИБ]]</f>
        <v>2017</v>
      </c>
      <c r="AW178" s="1" t="str">
        <f>IF(Дума_партии[[#This Row],[Наблюдателей]]=0,"",Дума_партии[[#This Row],[Наблюдателей]])</f>
        <v/>
      </c>
      <c r="AX178"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118.62880886426589</v>
      </c>
      <c r="AY178" s="10">
        <f>2*(Дума_одномандатный[[#This Row],[Майданов Денис Васильевич]]-(AC$203/100)*Дума_одномандатный[[#This Row],[Число действительных избирательных бюллетеней]])</f>
        <v>171.29999999999995</v>
      </c>
      <c r="AZ178" s="10">
        <f>(Дума_одномандатный[[#This Row],[Вброс]]+Дума_одномандатный[[#This Row],[Перекладывание]])/2</f>
        <v>144.96440443213294</v>
      </c>
    </row>
    <row r="179" spans="1:52" x14ac:dyDescent="0.4">
      <c r="A179" t="s">
        <v>49</v>
      </c>
      <c r="B179" t="s">
        <v>50</v>
      </c>
      <c r="C179" t="s">
        <v>51</v>
      </c>
      <c r="D179" t="s">
        <v>227</v>
      </c>
      <c r="E179" t="s">
        <v>307</v>
      </c>
      <c r="F179" s="1">
        <f t="shared" ca="1" si="82"/>
        <v>3943</v>
      </c>
      <c r="G179" s="8" t="str">
        <f>Дума_партии[[#This Row],[Местоположение]]</f>
        <v>Новоивановское</v>
      </c>
      <c r="H179" s="2" t="str">
        <f>LEFT(Дума_одномандатный[[#This Row],[tik]],4)&amp;"."&amp;IF(ISNUMBER(VALUE(RIGHT(Дума_одномандатный[[#This Row],[tik]]))),RIGHT(Дума_одномандатный[[#This Row],[tik]]),"")</f>
        <v>Один.2</v>
      </c>
      <c r="I179">
        <v>2441</v>
      </c>
      <c r="J179" s="8">
        <f>Дума_одномандатный[[#This Row],[Число избирателей, внесенных в список избирателей на момент окончания голосования]]</f>
        <v>2441</v>
      </c>
      <c r="K179">
        <v>2000</v>
      </c>
      <c r="L179">
        <v>0</v>
      </c>
      <c r="M179">
        <v>1513</v>
      </c>
      <c r="N179">
        <v>6</v>
      </c>
      <c r="O179" s="3">
        <f t="shared" si="83"/>
        <v>62.228594838181074</v>
      </c>
      <c r="P179" s="3">
        <f t="shared" si="84"/>
        <v>0.24580090126997131</v>
      </c>
      <c r="Q179">
        <v>481</v>
      </c>
      <c r="R179">
        <v>6</v>
      </c>
      <c r="S179">
        <v>1513</v>
      </c>
      <c r="T179" s="1">
        <f t="shared" si="85"/>
        <v>1519</v>
      </c>
      <c r="U179" s="3">
        <f t="shared" si="86"/>
        <v>0.39499670836076367</v>
      </c>
      <c r="V179">
        <v>10</v>
      </c>
      <c r="W179" s="3">
        <f t="shared" si="87"/>
        <v>0.65832784726793947</v>
      </c>
      <c r="X179">
        <v>1509</v>
      </c>
      <c r="Y179">
        <v>0</v>
      </c>
      <c r="Z179">
        <v>0</v>
      </c>
      <c r="AA179">
        <v>21</v>
      </c>
      <c r="AB179" s="3">
        <f t="shared" si="88"/>
        <v>1.3824884792626728</v>
      </c>
      <c r="AC179">
        <v>43</v>
      </c>
      <c r="AD179" s="3">
        <f t="shared" si="89"/>
        <v>2.8308097432521397</v>
      </c>
      <c r="AE179">
        <v>49</v>
      </c>
      <c r="AF179" s="3">
        <f t="shared" si="90"/>
        <v>3.225806451612903</v>
      </c>
      <c r="AG179">
        <v>1081</v>
      </c>
      <c r="AH179" s="3">
        <f t="shared" si="91"/>
        <v>71.165240289664254</v>
      </c>
      <c r="AI179">
        <v>36</v>
      </c>
      <c r="AJ179" s="3">
        <f t="shared" si="92"/>
        <v>2.3699802501645819</v>
      </c>
      <c r="AK179">
        <v>30</v>
      </c>
      <c r="AL179" s="3">
        <f t="shared" si="93"/>
        <v>1.9749835418038184</v>
      </c>
      <c r="AM179">
        <v>15</v>
      </c>
      <c r="AN179" s="3">
        <f t="shared" si="94"/>
        <v>0.9874917709019092</v>
      </c>
      <c r="AO179">
        <v>184</v>
      </c>
      <c r="AP179" s="3">
        <f t="shared" si="95"/>
        <v>12.113232389730086</v>
      </c>
      <c r="AQ179">
        <v>19</v>
      </c>
      <c r="AR179" s="3">
        <f t="shared" si="96"/>
        <v>1.2508229098090848</v>
      </c>
      <c r="AS179">
        <v>31</v>
      </c>
      <c r="AT179" s="3">
        <f t="shared" si="97"/>
        <v>2.0408163265306123</v>
      </c>
      <c r="AU179" t="s">
        <v>315</v>
      </c>
      <c r="AV179" s="72" t="str">
        <f>Дума_партии[[#This Row],[КОИБ]]</f>
        <v>N</v>
      </c>
      <c r="AW179" s="1" t="str">
        <f>IF(Дума_партии[[#This Row],[Наблюдателей]]=0,"",Дума_партии[[#This Row],[Наблюдателей]])</f>
        <v/>
      </c>
      <c r="AX179"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916.20221606648192</v>
      </c>
      <c r="AY179" s="10">
        <f>2*(Дума_одномандатный[[#This Row],[Майданов Денис Васильевич]]-(AC$203/100)*Дума_одномандатный[[#This Row],[Число действительных избирательных бюллетеней]])</f>
        <v>1322.9960000000001</v>
      </c>
      <c r="AZ179" s="10">
        <f>(Дума_одномандатный[[#This Row],[Вброс]]+Дума_одномандатный[[#This Row],[Перекладывание]])/2</f>
        <v>1119.599108033241</v>
      </c>
    </row>
    <row r="180" spans="1:52" x14ac:dyDescent="0.4">
      <c r="A180" t="s">
        <v>49</v>
      </c>
      <c r="B180" t="s">
        <v>50</v>
      </c>
      <c r="C180" t="s">
        <v>51</v>
      </c>
      <c r="D180" t="s">
        <v>227</v>
      </c>
      <c r="E180" t="s">
        <v>308</v>
      </c>
      <c r="F180" s="1">
        <f t="shared" ca="1" si="82"/>
        <v>3944</v>
      </c>
      <c r="G180" s="8" t="str">
        <f>Дума_партии[[#This Row],[Местоположение]]</f>
        <v>Заречье</v>
      </c>
      <c r="H180" s="2" t="str">
        <f>LEFT(Дума_одномандатный[[#This Row],[tik]],4)&amp;"."&amp;IF(ISNUMBER(VALUE(RIGHT(Дума_одномандатный[[#This Row],[tik]]))),RIGHT(Дума_одномандатный[[#This Row],[tik]]),"")</f>
        <v>Один.2</v>
      </c>
      <c r="I180">
        <v>1806</v>
      </c>
      <c r="J180" s="8">
        <f>Дума_одномандатный[[#This Row],[Число избирателей, внесенных в список избирателей на момент окончания голосования]]</f>
        <v>1806</v>
      </c>
      <c r="K180">
        <v>1500</v>
      </c>
      <c r="L180">
        <v>0</v>
      </c>
      <c r="M180">
        <v>321</v>
      </c>
      <c r="N180">
        <v>248</v>
      </c>
      <c r="O180" s="3">
        <f t="shared" si="83"/>
        <v>31.506090808416388</v>
      </c>
      <c r="P180" s="3">
        <f t="shared" si="84"/>
        <v>13.732004429678849</v>
      </c>
      <c r="Q180">
        <v>931</v>
      </c>
      <c r="R180">
        <v>248</v>
      </c>
      <c r="S180">
        <v>321</v>
      </c>
      <c r="T180" s="1">
        <f t="shared" si="85"/>
        <v>569</v>
      </c>
      <c r="U180" s="3">
        <f t="shared" si="86"/>
        <v>43.585237258347981</v>
      </c>
      <c r="V180">
        <v>15</v>
      </c>
      <c r="W180" s="3">
        <f t="shared" si="87"/>
        <v>2.6362038664323375</v>
      </c>
      <c r="X180">
        <v>554</v>
      </c>
      <c r="Y180">
        <v>0</v>
      </c>
      <c r="Z180">
        <v>0</v>
      </c>
      <c r="AA180">
        <v>23</v>
      </c>
      <c r="AB180" s="3">
        <f t="shared" si="88"/>
        <v>4.0421792618629171</v>
      </c>
      <c r="AC180">
        <v>18</v>
      </c>
      <c r="AD180" s="3">
        <f t="shared" si="89"/>
        <v>3.1634446397188047</v>
      </c>
      <c r="AE180">
        <v>30</v>
      </c>
      <c r="AF180" s="3">
        <f t="shared" si="90"/>
        <v>5.272407732864675</v>
      </c>
      <c r="AG180">
        <v>244</v>
      </c>
      <c r="AH180" s="3">
        <f t="shared" si="91"/>
        <v>42.882249560632687</v>
      </c>
      <c r="AI180">
        <v>26</v>
      </c>
      <c r="AJ180" s="3">
        <f t="shared" si="92"/>
        <v>4.5694200351493848</v>
      </c>
      <c r="AK180">
        <v>26</v>
      </c>
      <c r="AL180" s="3">
        <f t="shared" si="93"/>
        <v>4.5694200351493848</v>
      </c>
      <c r="AM180">
        <v>12</v>
      </c>
      <c r="AN180" s="3">
        <f t="shared" si="94"/>
        <v>2.1089630931458698</v>
      </c>
      <c r="AO180">
        <v>149</v>
      </c>
      <c r="AP180" s="3">
        <f t="shared" si="95"/>
        <v>26.186291739894553</v>
      </c>
      <c r="AQ180">
        <v>18</v>
      </c>
      <c r="AR180" s="3">
        <f t="shared" si="96"/>
        <v>3.1634446397188047</v>
      </c>
      <c r="AS180">
        <v>8</v>
      </c>
      <c r="AT180" s="3">
        <f t="shared" si="97"/>
        <v>1.40597539543058</v>
      </c>
      <c r="AU180" t="s">
        <v>315</v>
      </c>
      <c r="AV180" s="72">
        <f>Дума_партии[[#This Row],[КОИБ]]</f>
        <v>2017</v>
      </c>
      <c r="AW180" s="1" t="str">
        <f>IF(Дума_партии[[#This Row],[Наблюдателей]]=0,"",Дума_партии[[#This Row],[Наблюдателей]])</f>
        <v/>
      </c>
      <c r="AX180"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124.63711911357339</v>
      </c>
      <c r="AY180" s="10">
        <f>2*(Дума_одномандатный[[#This Row],[Майданов Денис Васильевич]]-(AC$203/100)*Дума_одномандатный[[#This Row],[Число действительных избирательных бюллетеней]])</f>
        <v>179.976</v>
      </c>
      <c r="AZ180" s="10">
        <f>(Дума_одномандатный[[#This Row],[Вброс]]+Дума_одномандатный[[#This Row],[Перекладывание]])/2</f>
        <v>152.30655955678668</v>
      </c>
    </row>
    <row r="181" spans="1:52" s="28" customFormat="1" x14ac:dyDescent="0.4">
      <c r="A181" s="28" t="s">
        <v>49</v>
      </c>
      <c r="B181" s="28" t="s">
        <v>50</v>
      </c>
      <c r="C181" s="28" t="s">
        <v>51</v>
      </c>
      <c r="D181" s="28" t="s">
        <v>227</v>
      </c>
      <c r="E181" s="28" t="s">
        <v>309</v>
      </c>
      <c r="F181" s="28">
        <f t="shared" ca="1" si="82"/>
        <v>3946</v>
      </c>
      <c r="G181" s="29" t="str">
        <f>Дума_партии[[#This Row],[Местоположение]]</f>
        <v>Барвиха</v>
      </c>
      <c r="H181" s="43" t="str">
        <f>LEFT(Дума_одномандатный[[#This Row],[tik]],4)&amp;"."&amp;IF(ISNUMBER(VALUE(RIGHT(Дума_одномандатный[[#This Row],[tik]]))),RIGHT(Дума_одномандатный[[#This Row],[tik]]),"")</f>
        <v>Один.2</v>
      </c>
      <c r="I181" s="28">
        <v>1312</v>
      </c>
      <c r="J181" s="29">
        <f>Дума_одномандатный[[#This Row],[Число избирателей, внесенных в список избирателей на момент окончания голосования]]</f>
        <v>1312</v>
      </c>
      <c r="K181" s="28">
        <v>1000</v>
      </c>
      <c r="L181" s="28">
        <v>0</v>
      </c>
      <c r="M181" s="28">
        <v>543</v>
      </c>
      <c r="N181" s="28">
        <v>10</v>
      </c>
      <c r="O181" s="30">
        <f t="shared" si="83"/>
        <v>42.149390243902438</v>
      </c>
      <c r="P181" s="30">
        <f t="shared" si="84"/>
        <v>0.76219512195121952</v>
      </c>
      <c r="Q181" s="28">
        <v>447</v>
      </c>
      <c r="R181" s="28">
        <v>10</v>
      </c>
      <c r="S181" s="28">
        <v>543</v>
      </c>
      <c r="T181" s="28">
        <f t="shared" si="85"/>
        <v>553</v>
      </c>
      <c r="U181" s="30">
        <f t="shared" si="86"/>
        <v>1.8083182640144666</v>
      </c>
      <c r="V181" s="28">
        <v>18</v>
      </c>
      <c r="W181" s="30">
        <f t="shared" si="87"/>
        <v>3.2549728752260396</v>
      </c>
      <c r="X181" s="28">
        <v>535</v>
      </c>
      <c r="Y181" s="28">
        <v>0</v>
      </c>
      <c r="Z181" s="28">
        <v>0</v>
      </c>
      <c r="AA181" s="28">
        <v>7</v>
      </c>
      <c r="AB181" s="30">
        <f t="shared" si="88"/>
        <v>1.2658227848101267</v>
      </c>
      <c r="AC181" s="28">
        <v>11</v>
      </c>
      <c r="AD181" s="30">
        <f t="shared" si="89"/>
        <v>1.9891500904159132</v>
      </c>
      <c r="AE181" s="28">
        <v>17</v>
      </c>
      <c r="AF181" s="30">
        <f t="shared" si="90"/>
        <v>3.0741410488245933</v>
      </c>
      <c r="AG181" s="28">
        <v>42</v>
      </c>
      <c r="AH181" s="30">
        <f t="shared" si="91"/>
        <v>7.5949367088607591</v>
      </c>
      <c r="AI181" s="28">
        <v>4</v>
      </c>
      <c r="AJ181" s="30">
        <f t="shared" si="92"/>
        <v>0.72332730560578662</v>
      </c>
      <c r="AK181" s="28">
        <v>9</v>
      </c>
      <c r="AL181" s="30">
        <f t="shared" si="93"/>
        <v>1.6274864376130198</v>
      </c>
      <c r="AM181" s="28">
        <v>3</v>
      </c>
      <c r="AN181" s="30">
        <f t="shared" si="94"/>
        <v>0.54249547920433994</v>
      </c>
      <c r="AO181" s="28">
        <v>432</v>
      </c>
      <c r="AP181" s="30">
        <f t="shared" si="95"/>
        <v>78.119349005424951</v>
      </c>
      <c r="AQ181" s="28">
        <v>8</v>
      </c>
      <c r="AR181" s="30">
        <f t="shared" si="96"/>
        <v>1.4466546112115732</v>
      </c>
      <c r="AS181" s="28">
        <v>2</v>
      </c>
      <c r="AT181" s="30">
        <f t="shared" si="97"/>
        <v>0.36166365280289331</v>
      </c>
      <c r="AU181" s="28" t="s">
        <v>315</v>
      </c>
      <c r="AV181" s="74">
        <f>Дума_партии[[#This Row],[КОИБ]]</f>
        <v>2017</v>
      </c>
      <c r="AW181" s="28">
        <f>IF(Дума_партии[[#This Row],[Наблюдателей]]=0,"",Дума_партии[[#This Row],[Наблюдателей]])</f>
        <v>3</v>
      </c>
      <c r="AX181" s="31">
        <f>Дума_одномандатный[[#This Row],[Теняев Сергей Александрович]]-((AC$205/100)/(1-(AC$205/100)))*(Дума_одномандатный[[#This Row],[Число действительных избирательных бюллетеней]]-Дума_одномандатный[[#This Row],[Теняев Сергей Александрович]])</f>
        <v>378.22678843226788</v>
      </c>
      <c r="AY181" s="31">
        <f>2*(Дума_одномандатный[[#This Row],[Теняев Сергей Александрович]]-(AC$205/100)*Дума_одномандатный[[#This Row],[Число действительных избирательных бюллетеней]])</f>
        <v>496.99</v>
      </c>
      <c r="AZ181" s="31">
        <f>(Дума_одномандатный[[#This Row],[Вброс]]+Дума_одномандатный[[#This Row],[Перекладывание]])/2</f>
        <v>437.60839421613395</v>
      </c>
    </row>
    <row r="182" spans="1:52" s="28" customFormat="1" x14ac:dyDescent="0.4">
      <c r="A182" s="28" t="s">
        <v>49</v>
      </c>
      <c r="B182" s="28" t="s">
        <v>50</v>
      </c>
      <c r="C182" s="28" t="s">
        <v>51</v>
      </c>
      <c r="D182" s="28" t="s">
        <v>227</v>
      </c>
      <c r="E182" s="28" t="s">
        <v>310</v>
      </c>
      <c r="F182" s="28">
        <f t="shared" ca="1" si="82"/>
        <v>3947</v>
      </c>
      <c r="G182" s="29" t="str">
        <f>Дума_партии[[#This Row],[Местоположение]]</f>
        <v>Барвиха</v>
      </c>
      <c r="H182" s="43" t="str">
        <f>LEFT(Дума_одномандатный[[#This Row],[tik]],4)&amp;"."&amp;IF(ISNUMBER(VALUE(RIGHT(Дума_одномандатный[[#This Row],[tik]]))),RIGHT(Дума_одномандатный[[#This Row],[tik]]),"")</f>
        <v>Один.2</v>
      </c>
      <c r="I182" s="28">
        <v>1658</v>
      </c>
      <c r="J182" s="29">
        <f>Дума_одномандатный[[#This Row],[Число избирателей, внесенных в список избирателей на момент окончания голосования]]</f>
        <v>1658</v>
      </c>
      <c r="K182" s="28">
        <v>1400</v>
      </c>
      <c r="L182" s="28">
        <v>0</v>
      </c>
      <c r="M182" s="28">
        <v>680</v>
      </c>
      <c r="N182" s="28">
        <v>23</v>
      </c>
      <c r="O182" s="30">
        <f t="shared" si="83"/>
        <v>42.400482509047045</v>
      </c>
      <c r="P182" s="30">
        <f t="shared" si="84"/>
        <v>1.3872135102533172</v>
      </c>
      <c r="Q182" s="28">
        <v>697</v>
      </c>
      <c r="R182" s="28">
        <v>23</v>
      </c>
      <c r="S182" s="28">
        <v>680</v>
      </c>
      <c r="T182" s="28">
        <f t="shared" si="85"/>
        <v>703</v>
      </c>
      <c r="U182" s="30">
        <f t="shared" si="86"/>
        <v>3.271692745376956</v>
      </c>
      <c r="V182" s="28">
        <v>21</v>
      </c>
      <c r="W182" s="30">
        <f t="shared" si="87"/>
        <v>2.9871977240398291</v>
      </c>
      <c r="X182" s="28">
        <v>682</v>
      </c>
      <c r="Y182" s="28">
        <v>0</v>
      </c>
      <c r="Z182" s="28">
        <v>0</v>
      </c>
      <c r="AA182" s="28">
        <v>5</v>
      </c>
      <c r="AB182" s="30">
        <f t="shared" si="88"/>
        <v>0.71123755334281646</v>
      </c>
      <c r="AC182" s="28">
        <v>6</v>
      </c>
      <c r="AD182" s="30">
        <f t="shared" si="89"/>
        <v>0.8534850640113798</v>
      </c>
      <c r="AE182" s="28">
        <v>23</v>
      </c>
      <c r="AF182" s="30">
        <f t="shared" si="90"/>
        <v>3.271692745376956</v>
      </c>
      <c r="AG182" s="28">
        <v>46</v>
      </c>
      <c r="AH182" s="30">
        <f t="shared" si="91"/>
        <v>6.543385490753912</v>
      </c>
      <c r="AI182" s="28">
        <v>6</v>
      </c>
      <c r="AJ182" s="30">
        <f t="shared" si="92"/>
        <v>0.8534850640113798</v>
      </c>
      <c r="AK182" s="28">
        <v>2</v>
      </c>
      <c r="AL182" s="30">
        <f t="shared" si="93"/>
        <v>0.28449502133712662</v>
      </c>
      <c r="AM182" s="28">
        <v>2</v>
      </c>
      <c r="AN182" s="30">
        <f t="shared" si="94"/>
        <v>0.28449502133712662</v>
      </c>
      <c r="AO182" s="28">
        <v>580</v>
      </c>
      <c r="AP182" s="30">
        <f t="shared" si="95"/>
        <v>82.503556187766719</v>
      </c>
      <c r="AQ182" s="28">
        <v>4</v>
      </c>
      <c r="AR182" s="30">
        <f t="shared" si="96"/>
        <v>0.56899004267425324</v>
      </c>
      <c r="AS182" s="28">
        <v>8</v>
      </c>
      <c r="AT182" s="30">
        <f t="shared" si="97"/>
        <v>1.1379800853485065</v>
      </c>
      <c r="AU182" s="28" t="s">
        <v>315</v>
      </c>
      <c r="AV182" s="74">
        <f>Дума_партии[[#This Row],[КОИБ]]</f>
        <v>2017</v>
      </c>
      <c r="AW182" s="28">
        <f>IF(Дума_партии[[#This Row],[Наблюдателей]]=0,"",Дума_партии[[#This Row],[Наблюдателей]])</f>
        <v>4</v>
      </c>
      <c r="AX182" s="31">
        <f>Дума_одномандатный[[#This Row],[Теняев Сергей Александрович]]-((AC$205/100)/(1-(AC$205/100)))*(Дума_одномандатный[[#This Row],[Число действительных избирательных бюллетеней]]-Дума_одномандатный[[#This Row],[Теняев Сергей Александрович]])</f>
        <v>526.7488584474886</v>
      </c>
      <c r="AY182" s="31">
        <f>2*(Дума_одномандатный[[#This Row],[Теняев Сергей Александрович]]-(AC$205/100)*Дума_одномандатный[[#This Row],[Число действительных избирательных бюллетеней]])</f>
        <v>692.14800000000002</v>
      </c>
      <c r="AZ182" s="31">
        <f>(Дума_одномандатный[[#This Row],[Вброс]]+Дума_одномандатный[[#This Row],[Перекладывание]])/2</f>
        <v>609.44842922374437</v>
      </c>
    </row>
    <row r="183" spans="1:52" x14ac:dyDescent="0.4">
      <c r="A183" t="s">
        <v>49</v>
      </c>
      <c r="B183" t="s">
        <v>50</v>
      </c>
      <c r="C183" t="s">
        <v>51</v>
      </c>
      <c r="D183" t="s">
        <v>227</v>
      </c>
      <c r="E183" t="s">
        <v>311</v>
      </c>
      <c r="F183" s="1">
        <f t="shared" ca="1" si="82"/>
        <v>3948</v>
      </c>
      <c r="G183" s="8" t="str">
        <f>Дума_партии[[#This Row],[Местоположение]]</f>
        <v>Барвиха</v>
      </c>
      <c r="H183" s="2" t="str">
        <f>LEFT(Дума_одномандатный[[#This Row],[tik]],4)&amp;"."&amp;IF(ISNUMBER(VALUE(RIGHT(Дума_одномандатный[[#This Row],[tik]]))),RIGHT(Дума_одномандатный[[#This Row],[tik]]),"")</f>
        <v>Один.2</v>
      </c>
      <c r="I183">
        <v>1066</v>
      </c>
      <c r="J183" s="8">
        <f>Дума_одномандатный[[#This Row],[Число избирателей, внесенных в список избирателей на момент окончания голосования]]</f>
        <v>1066</v>
      </c>
      <c r="K183">
        <v>900</v>
      </c>
      <c r="L183">
        <v>0</v>
      </c>
      <c r="M183">
        <v>259</v>
      </c>
      <c r="N183">
        <v>21</v>
      </c>
      <c r="O183" s="3">
        <f t="shared" si="83"/>
        <v>26.266416510318951</v>
      </c>
      <c r="P183" s="3">
        <f t="shared" si="84"/>
        <v>1.9699812382739212</v>
      </c>
      <c r="Q183">
        <v>620</v>
      </c>
      <c r="R183">
        <v>21</v>
      </c>
      <c r="S183">
        <v>259</v>
      </c>
      <c r="T183" s="1">
        <f t="shared" si="85"/>
        <v>280</v>
      </c>
      <c r="U183" s="3">
        <f t="shared" si="86"/>
        <v>7.5</v>
      </c>
      <c r="V183">
        <v>8</v>
      </c>
      <c r="W183" s="3">
        <f t="shared" si="87"/>
        <v>2.8571428571428572</v>
      </c>
      <c r="X183">
        <v>272</v>
      </c>
      <c r="Y183">
        <v>0</v>
      </c>
      <c r="Z183">
        <v>0</v>
      </c>
      <c r="AA183">
        <v>10</v>
      </c>
      <c r="AB183" s="3">
        <f t="shared" si="88"/>
        <v>3.5714285714285716</v>
      </c>
      <c r="AC183">
        <v>12</v>
      </c>
      <c r="AD183" s="3">
        <f t="shared" si="89"/>
        <v>4.2857142857142856</v>
      </c>
      <c r="AE183">
        <v>12</v>
      </c>
      <c r="AF183" s="3">
        <f t="shared" si="90"/>
        <v>4.2857142857142856</v>
      </c>
      <c r="AG183">
        <v>72</v>
      </c>
      <c r="AH183" s="3">
        <f t="shared" si="91"/>
        <v>25.714285714285715</v>
      </c>
      <c r="AI183">
        <v>13</v>
      </c>
      <c r="AJ183" s="3">
        <f t="shared" si="92"/>
        <v>4.6428571428571432</v>
      </c>
      <c r="AK183">
        <v>4</v>
      </c>
      <c r="AL183" s="3">
        <f t="shared" si="93"/>
        <v>1.4285714285714286</v>
      </c>
      <c r="AM183">
        <v>4</v>
      </c>
      <c r="AN183" s="3">
        <f t="shared" si="94"/>
        <v>1.4285714285714286</v>
      </c>
      <c r="AO183">
        <v>137</v>
      </c>
      <c r="AP183" s="3">
        <f t="shared" si="95"/>
        <v>48.928571428571431</v>
      </c>
      <c r="AQ183">
        <v>4</v>
      </c>
      <c r="AR183" s="3">
        <f t="shared" si="96"/>
        <v>1.4285714285714286</v>
      </c>
      <c r="AS183">
        <v>4</v>
      </c>
      <c r="AT183" s="3">
        <f t="shared" si="97"/>
        <v>1.4285714285714286</v>
      </c>
      <c r="AU183" t="s">
        <v>315</v>
      </c>
      <c r="AV183" s="72">
        <f>Дума_партии[[#This Row],[КОИБ]]</f>
        <v>2017</v>
      </c>
      <c r="AW183" s="1">
        <f>IF(Дума_партии[[#This Row],[Наблюдателей]]=0,"",Дума_партии[[#This Row],[Наблюдателей]])</f>
        <v>1</v>
      </c>
      <c r="AX183" s="10">
        <f>Дума_одномандатный[[#This Row],[Майданов Денис Васильевич]]-((AC$203/100)/(1-(AC$203/100)))*(Дума_одномандатный[[#This Row],[Число действительных избирательных бюллетеней]]-Дума_одномандатный[[#This Row],[Майданов Денис Васильевич]])</f>
        <v>-5.0083102493074847</v>
      </c>
      <c r="AY183" s="10">
        <f>2*(Дума_одномандатный[[#This Row],[Майданов Денис Васильевич]]-(AC$203/100)*Дума_одномандатный[[#This Row],[Число действительных избирательных бюллетеней]])</f>
        <v>-7.2320000000000277</v>
      </c>
      <c r="AZ183" s="10">
        <f>(Дума_одномандатный[[#This Row],[Вброс]]+Дума_одномандатный[[#This Row],[Перекладывание]])/2</f>
        <v>-6.1201551246537562</v>
      </c>
    </row>
    <row r="184" spans="1:52" x14ac:dyDescent="0.4">
      <c r="A184" s="1" t="s">
        <v>95</v>
      </c>
      <c r="F184" s="1">
        <f ca="1">SUBTOTAL(103,Дума_одномандатный[УИК])</f>
        <v>182</v>
      </c>
      <c r="I184" s="1">
        <f>SUBTOTAL(109,Дума_одномандатный[Число избирателей, внесенных в список избирателей на момент окончания голосования])</f>
        <v>318149</v>
      </c>
      <c r="M184" s="1">
        <f>SUBTOTAL(109,Дума_одномандатный[Число избирательных бюллетеней, выданных в помещении для голосования в день голосования])</f>
        <v>117093</v>
      </c>
      <c r="N184" s="1">
        <f>SUBTOTAL(109,Дума_одномандатный[Число избирательных бюллетеней, выданных вне помещения для голосования в день голосования])</f>
        <v>14220</v>
      </c>
      <c r="O184" s="1"/>
      <c r="P184" s="1"/>
      <c r="T184" s="1">
        <f>SUBTOTAL(109,Дума_одномандатный[Обнаружено])</f>
        <v>129905</v>
      </c>
      <c r="U184" s="1"/>
      <c r="W184" s="1"/>
      <c r="X184" s="22">
        <f>SUBTOTAL(109,Дума_одномандатный[Число действительных избирательных бюллетеней])</f>
        <v>123047</v>
      </c>
      <c r="AA184" s="1">
        <f>SUBTOTAL(109,Дума_одномандатный[Дуленков Алексей Николаевич])</f>
        <v>3730</v>
      </c>
      <c r="AB184" s="1"/>
      <c r="AC184" s="1">
        <f>SUBTOTAL(109,Дума_одномандатный[Калимуллин Руслан Рамилевич])</f>
        <v>6759</v>
      </c>
      <c r="AD184" s="1"/>
      <c r="AE184" s="1">
        <f>SUBTOTAL(109,Дума_одномандатный[Кумохин Александр Геннадиевич])</f>
        <v>8633</v>
      </c>
      <c r="AF184" s="1"/>
      <c r="AG184" s="1">
        <f>SUBTOTAL(109,Дума_одномандатный[Майданов Денис Васильевич])</f>
        <v>49999</v>
      </c>
      <c r="AH184" s="1"/>
      <c r="AI184" s="1">
        <f>SUBTOTAL(109,Дума_одномандатный[Пархоменко Дмитрий Владимирович])</f>
        <v>6770</v>
      </c>
      <c r="AJ184" s="1"/>
      <c r="AK184" s="1">
        <f>SUBTOTAL(109,Дума_одномандатный[Степанов Федор Александрович])</f>
        <v>7076</v>
      </c>
      <c r="AL184" s="1"/>
      <c r="AM184" s="1">
        <f>SUBTOTAL(109,Дума_одномандатный[Сукязян Артур Вадимович])</f>
        <v>2565</v>
      </c>
      <c r="AN184" s="1"/>
      <c r="AO184" s="1">
        <f>SUBTOTAL(109,Дума_одномандатный[Теняев Сергей Александрович])</f>
        <v>31027</v>
      </c>
      <c r="AP184" s="1"/>
      <c r="AQ184" s="1">
        <f>SUBTOTAL(109,Дума_одномандатный[Ханафиев Жаудат Габдулганиевич])</f>
        <v>3940</v>
      </c>
      <c r="AR184" s="1"/>
      <c r="AS184" s="1">
        <f>SUBTOTAL(109,Дума_одномандатный[Шерягин Владимир Геннадьевич])</f>
        <v>2548</v>
      </c>
      <c r="AT184" s="1"/>
      <c r="AV184">
        <f>SUBTOTAL(102,Дума_одномандатный[КОИБ])</f>
        <v>143</v>
      </c>
      <c r="AW184" s="1">
        <f>SUBTOTAL(102,Дума_одномандатный[Наблюдателей])</f>
        <v>35</v>
      </c>
      <c r="AX184" s="69">
        <f>SUBTOTAL(109,Дума_одномандатный[Вброс])</f>
        <v>23124.17232278001</v>
      </c>
      <c r="AY184" s="69">
        <f>SUBTOTAL(109,Дума_одномандатный[Перекладывание])</f>
        <v>33273.657999999989</v>
      </c>
      <c r="AZ184" s="69">
        <f>SUBTOTAL(109,Дума_одномандатный[Оценка числа бюллетеней, сфальсифицированных в пользу ЕР])</f>
        <v>28198.915161390007</v>
      </c>
    </row>
    <row r="185" spans="1:52" x14ac:dyDescent="0.4">
      <c r="A185" s="3"/>
      <c r="B185" s="3"/>
      <c r="C185" s="3"/>
      <c r="D185" s="3"/>
      <c r="E185" s="3"/>
      <c r="F185" s="3"/>
      <c r="G185" s="3"/>
      <c r="H185" s="3"/>
      <c r="I185" s="3"/>
      <c r="J185" s="3"/>
      <c r="K185" s="3"/>
      <c r="L185" s="3"/>
      <c r="M185" s="3" t="s">
        <v>52</v>
      </c>
      <c r="N185" s="3">
        <f>100*(M184+N184)/I184</f>
        <v>41.274057124177666</v>
      </c>
      <c r="Q185" s="3"/>
      <c r="R185" s="3"/>
      <c r="S185" s="3"/>
      <c r="T185" s="3"/>
      <c r="V185" s="3"/>
      <c r="X185" s="3"/>
      <c r="Y185" s="3"/>
      <c r="Z185" s="3"/>
      <c r="AA185" s="3">
        <f>100*AA184/$T184</f>
        <v>2.8713290481505718</v>
      </c>
      <c r="AC185" s="3">
        <f>100*AC184/$T184</f>
        <v>5.2030329856433548</v>
      </c>
      <c r="AE185" s="3">
        <f>100*AE184/$T184</f>
        <v>6.6456256495131054</v>
      </c>
      <c r="AG185" s="3">
        <f>100*AG184/$T184</f>
        <v>38.488895731496093</v>
      </c>
      <c r="AI185" s="3">
        <f>100*AI184/$T184</f>
        <v>5.2115007120588119</v>
      </c>
      <c r="AK185" s="3">
        <f>100*AK184/$T184</f>
        <v>5.4470574650706283</v>
      </c>
      <c r="AM185" s="3">
        <f>100*AM184/$T184</f>
        <v>1.974519841422578</v>
      </c>
      <c r="AO185" s="3">
        <f>100*AO184/$T184</f>
        <v>23.884377044763482</v>
      </c>
      <c r="AQ185" s="3">
        <f>100*AQ184/$T184</f>
        <v>3.0329856433547593</v>
      </c>
      <c r="AS185" s="3">
        <f>100*AS184/$T184</f>
        <v>1.9614333551441439</v>
      </c>
      <c r="AU185" s="3"/>
      <c r="AV185"/>
      <c r="AX185" s="3">
        <f>AX184*100/Дума_одномандатный[[#Totals],[Майданов Денис Васильевич]]</f>
        <v>46.249269630952639</v>
      </c>
      <c r="AY185" s="3">
        <f>AY184*100/Дума_одномандатный[[#Totals],[Майданов Денис Васильевич]]</f>
        <v>66.548646972939437</v>
      </c>
      <c r="AZ185" s="3">
        <f>AZ184*100/Дума_одномандатный[[#Totals],[Майданов Денис Васильевич]]</f>
        <v>56.398958301946053</v>
      </c>
    </row>
    <row r="186" spans="1:52" x14ac:dyDescent="0.4">
      <c r="A186" s="3"/>
      <c r="B186" s="3"/>
      <c r="C186" s="3"/>
      <c r="D186" s="3"/>
      <c r="E186" s="3"/>
      <c r="F186" s="3"/>
      <c r="G186" s="3"/>
      <c r="H186" s="3"/>
      <c r="I186" s="3"/>
      <c r="J186" s="3"/>
      <c r="K186" s="3"/>
      <c r="L186" s="3"/>
      <c r="M186" s="3"/>
      <c r="N186" s="3"/>
      <c r="Q186" s="3"/>
      <c r="R186" s="3"/>
      <c r="S186" s="3"/>
      <c r="T186" s="3"/>
      <c r="V186" s="3"/>
      <c r="X186" s="3"/>
      <c r="Y186" s="3"/>
      <c r="Z186" s="3"/>
      <c r="AA186" s="3"/>
      <c r="AC186" s="3"/>
      <c r="AE186" s="3"/>
      <c r="AG186" s="23">
        <f>100*AG184/$X184</f>
        <v>40.634066657456096</v>
      </c>
      <c r="AI186" s="3"/>
      <c r="AK186" s="3"/>
      <c r="AO186" s="23">
        <f>100*AO184/$X184</f>
        <v>25.215568034978503</v>
      </c>
      <c r="AQ186" s="3"/>
      <c r="AS186" s="3"/>
      <c r="AU186" s="3"/>
      <c r="AX186" s="70" t="s">
        <v>447</v>
      </c>
      <c r="AY186" s="70"/>
      <c r="AZ186" s="70"/>
    </row>
    <row r="202" spans="27:29" x14ac:dyDescent="0.4">
      <c r="AA202" s="1" t="s">
        <v>364</v>
      </c>
    </row>
    <row r="203" spans="27:29" x14ac:dyDescent="0.4">
      <c r="AA203" s="3">
        <v>25.8</v>
      </c>
      <c r="AC203" s="27">
        <v>27.8</v>
      </c>
    </row>
    <row r="204" spans="27:29" x14ac:dyDescent="0.4">
      <c r="AA204" s="1" t="s">
        <v>385</v>
      </c>
      <c r="AC204" s="9"/>
    </row>
    <row r="205" spans="27:29" x14ac:dyDescent="0.4">
      <c r="AA205" s="3">
        <v>31.9</v>
      </c>
      <c r="AC205" s="27">
        <v>34.299999999999997</v>
      </c>
    </row>
    <row r="221" spans="27:27" x14ac:dyDescent="0.4">
      <c r="AA221" s="1" t="s">
        <v>127</v>
      </c>
    </row>
    <row r="222" spans="27:27" x14ac:dyDescent="0.4">
      <c r="AA222" s="1">
        <f>MAX($J2:$J183)*2</f>
        <v>5984</v>
      </c>
    </row>
  </sheetData>
  <phoneticPr fontId="3" type="noConversion"/>
  <pageMargins left="0.7" right="0.7" top="0.75" bottom="0.75" header="0.3" footer="0.3"/>
  <pageSetup paperSize="9" orientation="portrait" horizontalDpi="4294967295" verticalDpi="4294967295"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1D17D-0503-4D46-9F1F-4682865F59D3}">
  <dimension ref="A1:AT222"/>
  <sheetViews>
    <sheetView zoomScale="70" zoomScaleNormal="70" workbookViewId="0">
      <pane ySplit="1" topLeftCell="A172" activePane="bottomLeft" state="frozen"/>
      <selection pane="bottomLeft" activeCell="AR187" sqref="AR187"/>
    </sheetView>
  </sheetViews>
  <sheetFormatPr defaultRowHeight="14.15" x14ac:dyDescent="0.4"/>
  <cols>
    <col min="1" max="1" width="6.23046875" style="1" hidden="1" customWidth="1"/>
    <col min="2" max="5" width="6.3046875" style="1" hidden="1" customWidth="1"/>
    <col min="6" max="6" width="6.3046875" style="1" customWidth="1"/>
    <col min="7" max="7" width="16.765625" style="1" customWidth="1"/>
    <col min="8" max="8" width="7.3828125" style="1" customWidth="1"/>
    <col min="9" max="9" width="7.4609375" style="1" customWidth="1"/>
    <col min="10" max="14" width="6.3046875" style="1" customWidth="1"/>
    <col min="15" max="16" width="6.3046875" style="3" customWidth="1"/>
    <col min="17" max="19" width="6.3046875" style="1" customWidth="1"/>
    <col min="20" max="20" width="7.3046875" style="1" customWidth="1"/>
    <col min="21" max="21" width="6.3046875" style="3" customWidth="1"/>
    <col min="22" max="22" width="6.3046875" style="1" customWidth="1"/>
    <col min="23" max="23" width="6.3046875" style="3" customWidth="1"/>
    <col min="24" max="24" width="7.3828125" style="1" customWidth="1"/>
    <col min="25" max="27" width="6.3046875" style="1" customWidth="1"/>
    <col min="28" max="28" width="6.3046875" style="3" customWidth="1"/>
    <col min="29" max="29" width="6.3046875" style="1" customWidth="1"/>
    <col min="30" max="30" width="6.3046875" style="3" customWidth="1"/>
    <col min="31" max="31" width="6.3046875" style="1" customWidth="1"/>
    <col min="32" max="32" width="6.3046875" style="3" customWidth="1"/>
    <col min="33" max="33" width="6.3046875" style="1" customWidth="1"/>
    <col min="34" max="34" width="6.3046875" style="3" customWidth="1"/>
    <col min="35" max="35" width="6.3046875" style="1" customWidth="1"/>
    <col min="36" max="38" width="6.3046875" style="3" customWidth="1"/>
    <col min="39" max="39" width="6.3046875" style="1" customWidth="1"/>
    <col min="40" max="40" width="6.3046875" style="3" customWidth="1"/>
    <col min="41" max="41" width="6.3046875" style="1" customWidth="1"/>
    <col min="42" max="42" width="6.3046875" style="75" customWidth="1"/>
    <col min="43" max="45" width="6.23046875" style="1" customWidth="1"/>
    <col min="46" max="16384" width="9.23046875" style="1"/>
  </cols>
  <sheetData>
    <row r="1" spans="2:46" x14ac:dyDescent="0.4">
      <c r="B1" s="1" t="s">
        <v>0</v>
      </c>
      <c r="C1" s="1" t="s">
        <v>2</v>
      </c>
      <c r="D1" s="1" t="s">
        <v>3</v>
      </c>
      <c r="E1" s="1" t="s">
        <v>4</v>
      </c>
      <c r="F1" s="5" t="s">
        <v>98</v>
      </c>
      <c r="G1" s="5" t="s">
        <v>99</v>
      </c>
      <c r="H1" s="5" t="s">
        <v>316</v>
      </c>
      <c r="I1" s="1" t="s">
        <v>53</v>
      </c>
      <c r="J1" s="1" t="s">
        <v>101</v>
      </c>
      <c r="K1" s="1" t="s">
        <v>54</v>
      </c>
      <c r="L1" s="1" t="s">
        <v>100</v>
      </c>
      <c r="M1" s="1" t="s">
        <v>55</v>
      </c>
      <c r="N1" s="1" t="s">
        <v>56</v>
      </c>
      <c r="O1" s="3" t="s">
        <v>10</v>
      </c>
      <c r="P1" s="3" t="s">
        <v>93</v>
      </c>
      <c r="Q1" s="1" t="s">
        <v>57</v>
      </c>
      <c r="R1" s="1" t="s">
        <v>58</v>
      </c>
      <c r="S1" s="1" t="s">
        <v>59</v>
      </c>
      <c r="T1" s="1" t="s">
        <v>15</v>
      </c>
      <c r="U1" s="7" t="s">
        <v>11</v>
      </c>
      <c r="V1" s="1" t="s">
        <v>60</v>
      </c>
      <c r="W1" s="7" t="s">
        <v>94</v>
      </c>
      <c r="X1" s="1" t="s">
        <v>61</v>
      </c>
      <c r="Y1" s="1" t="s">
        <v>62</v>
      </c>
      <c r="Z1" s="1" t="s">
        <v>63</v>
      </c>
      <c r="AA1" t="s">
        <v>372</v>
      </c>
      <c r="AB1" t="s">
        <v>373</v>
      </c>
      <c r="AC1" t="s">
        <v>374</v>
      </c>
      <c r="AD1" t="s">
        <v>379</v>
      </c>
      <c r="AE1" t="s">
        <v>375</v>
      </c>
      <c r="AF1" t="s">
        <v>380</v>
      </c>
      <c r="AG1" t="s">
        <v>75</v>
      </c>
      <c r="AH1" t="s">
        <v>76</v>
      </c>
      <c r="AI1" t="s">
        <v>376</v>
      </c>
      <c r="AJ1" t="s">
        <v>381</v>
      </c>
      <c r="AK1" t="s">
        <v>377</v>
      </c>
      <c r="AL1" t="s">
        <v>382</v>
      </c>
      <c r="AM1" t="s">
        <v>378</v>
      </c>
      <c r="AN1" t="s">
        <v>383</v>
      </c>
      <c r="AO1" s="1" t="s">
        <v>48</v>
      </c>
      <c r="AP1" s="75" t="s">
        <v>454</v>
      </c>
      <c r="AQ1" s="12" t="s">
        <v>96</v>
      </c>
      <c r="AR1" s="11" t="s">
        <v>115</v>
      </c>
      <c r="AS1" s="11" t="s">
        <v>116</v>
      </c>
      <c r="AT1" s="11" t="s">
        <v>117</v>
      </c>
    </row>
    <row r="2" spans="2:46" x14ac:dyDescent="0.4">
      <c r="B2" t="s">
        <v>74</v>
      </c>
      <c r="C2" t="s">
        <v>366</v>
      </c>
      <c r="D2" t="s">
        <v>128</v>
      </c>
      <c r="E2" t="s">
        <v>129</v>
      </c>
      <c r="F2" s="2">
        <f t="shared" ref="F2" ca="1" si="0">SUMPRODUCT(MID(0&amp;E2, LARGE(INDEX(ISNUMBER(--MID(E2, ROW(INDIRECT("1:"&amp;LEN(E2))), 1)) * ROW(INDIRECT("1:"&amp;LEN(E2))), 0), ROW(INDIRECT("1:"&amp;LEN(E2))))+1, 1) * 10^ROW(INDIRECT("1:"&amp;LEN(E2)))/10)</f>
        <v>212</v>
      </c>
      <c r="G2" s="2" t="str">
        <f>Дума_партии[[#This Row],[Местоположение]]</f>
        <v>Власиха</v>
      </c>
      <c r="H2" t="str">
        <f>LEFT(Мособлдума_одномандатный_6[[#This Row],[tik]],4)&amp;"."&amp;IF(ISNUMBER(VALUE(RIGHT(Мособлдума_одномандатный_6[[#This Row],[tik]]))),RIGHT(Мособлдума_одномандатный_6[[#This Row],[tik]]),"")</f>
        <v>Влас.</v>
      </c>
      <c r="I2">
        <v>2451</v>
      </c>
      <c r="J2" s="1">
        <f>Мособлдума_одномандатный_6[[#This Row],[Число избирателей, внесенных в список на момент окончания голосования]]</f>
        <v>2451</v>
      </c>
      <c r="K2">
        <v>2500</v>
      </c>
      <c r="M2">
        <v>1577</v>
      </c>
      <c r="N2">
        <v>19</v>
      </c>
      <c r="O2" s="3">
        <f t="shared" ref="O2" si="1">100*(M2+N2)/I2</f>
        <v>65.116279069767444</v>
      </c>
      <c r="P2" s="3">
        <f t="shared" ref="P2" si="2">100*N2/I2</f>
        <v>0.77519379844961245</v>
      </c>
      <c r="Q2">
        <v>904</v>
      </c>
      <c r="R2">
        <v>19</v>
      </c>
      <c r="S2">
        <v>1577</v>
      </c>
      <c r="T2" s="1">
        <f>R2+S2</f>
        <v>1596</v>
      </c>
      <c r="U2" s="3">
        <f>100*R2/T2</f>
        <v>1.1904761904761905</v>
      </c>
      <c r="V2">
        <v>42</v>
      </c>
      <c r="W2" s="3">
        <f>100*V2/T2</f>
        <v>2.6315789473684212</v>
      </c>
      <c r="X2">
        <v>1554</v>
      </c>
      <c r="Y2">
        <v>0</v>
      </c>
      <c r="Z2">
        <v>0</v>
      </c>
      <c r="AA2">
        <v>212</v>
      </c>
      <c r="AB2" s="3">
        <f>100*AA2/$T2</f>
        <v>13.283208020050125</v>
      </c>
      <c r="AC2">
        <v>77</v>
      </c>
      <c r="AD2" s="3">
        <f>100*AC2/$T2</f>
        <v>4.8245614035087723</v>
      </c>
      <c r="AE2">
        <v>35</v>
      </c>
      <c r="AF2" s="3">
        <f>100*AE2/$T2</f>
        <v>2.192982456140351</v>
      </c>
      <c r="AG2">
        <v>31</v>
      </c>
      <c r="AH2" s="3">
        <f>100*AG2/$T2</f>
        <v>1.9423558897243107</v>
      </c>
      <c r="AI2">
        <v>845</v>
      </c>
      <c r="AJ2" s="3">
        <f>100*AI2/$T2</f>
        <v>52.944862155388471</v>
      </c>
      <c r="AK2">
        <v>89</v>
      </c>
      <c r="AL2" s="3">
        <f t="shared" ref="AL2:AL42" si="3">100*AK2/$T2</f>
        <v>5.5764411027568919</v>
      </c>
      <c r="AM2">
        <v>265</v>
      </c>
      <c r="AN2" s="3">
        <f>100*AM2/$T2</f>
        <v>16.604010025062657</v>
      </c>
      <c r="AO2" t="s">
        <v>367</v>
      </c>
      <c r="AP2" s="72" t="str">
        <f>Дума_партии[[#This Row],[КОИБ]]</f>
        <v>N</v>
      </c>
      <c r="AQ2" s="1" t="str">
        <f>IF(Дума_партии[[#This Row],[Наблюдателей]]=0,"",Дума_партии[[#This Row],[Наблюдателей]])</f>
        <v/>
      </c>
      <c r="AR2"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469.90214067278276</v>
      </c>
      <c r="AS2" s="10">
        <f>2*(Мособлдума_одномандатный_6[[#This Row],[Лазутина Лариса Евгеньевна]]-(AC$203/100)*Мособлдума_одномандатный_6[[#This Row],[Число действительных бюллетеней]])</f>
        <v>614.63199999999983</v>
      </c>
      <c r="AT2" s="10">
        <f>(Мособлдума_одномандатный_6[[#This Row],[Вброс]]+Мособлдума_одномандатный_6[[#This Row],[Перекладывание]])/2</f>
        <v>542.26707033639127</v>
      </c>
    </row>
    <row r="3" spans="2:46" x14ac:dyDescent="0.4">
      <c r="B3" t="s">
        <v>74</v>
      </c>
      <c r="C3" t="s">
        <v>366</v>
      </c>
      <c r="D3" t="s">
        <v>128</v>
      </c>
      <c r="E3" t="s">
        <v>130</v>
      </c>
      <c r="F3" s="1">
        <f t="shared" ref="F3:F43" ca="1" si="4">SUMPRODUCT(MID(0&amp;E3, LARGE(INDEX(ISNUMBER(--MID(E3, ROW(INDIRECT("1:"&amp;LEN(E3))), 1)) * ROW(INDIRECT("1:"&amp;LEN(E3))), 0), ROW(INDIRECT("1:"&amp;LEN(E3))))+1, 1) * 10^ROW(INDIRECT("1:"&amp;LEN(E3)))/10)</f>
        <v>213</v>
      </c>
      <c r="G3" s="8" t="str">
        <f>Дума_партии[[#This Row],[Местоположение]]</f>
        <v>Власиха</v>
      </c>
      <c r="H3" s="2" t="str">
        <f>LEFT(Мособлдума_одномандатный_6[[#This Row],[tik]],4)&amp;"."&amp;IF(ISNUMBER(VALUE(RIGHT(Мособлдума_одномандатный_6[[#This Row],[tik]]))),RIGHT(Мособлдума_одномандатный_6[[#This Row],[tik]]),"")</f>
        <v>Влас.</v>
      </c>
      <c r="I3">
        <v>1792</v>
      </c>
      <c r="J3" s="8">
        <f>Мособлдума_одномандатный_6[[#This Row],[Число избирателей, внесенных в список на момент окончания голосования]]</f>
        <v>1792</v>
      </c>
      <c r="K3">
        <v>1700</v>
      </c>
      <c r="M3">
        <v>900</v>
      </c>
      <c r="N3">
        <v>59</v>
      </c>
      <c r="O3" s="3">
        <f t="shared" ref="O3:O43" si="5">100*(M3+N3)/I3</f>
        <v>53.515625</v>
      </c>
      <c r="P3" s="3">
        <f t="shared" ref="P3:P43" si="6">100*N3/I3</f>
        <v>3.2924107142857144</v>
      </c>
      <c r="Q3">
        <v>741</v>
      </c>
      <c r="R3">
        <v>59</v>
      </c>
      <c r="S3">
        <v>898</v>
      </c>
      <c r="T3" s="1">
        <f t="shared" ref="T3:T43" si="7">R3+S3</f>
        <v>957</v>
      </c>
      <c r="U3" s="3">
        <f t="shared" ref="U3:U43" si="8">100*R3/T3</f>
        <v>6.1650992685475448</v>
      </c>
      <c r="V3">
        <v>36</v>
      </c>
      <c r="W3" s="3">
        <f t="shared" ref="W3:W43" si="9">100*V3/T3</f>
        <v>3.761755485893417</v>
      </c>
      <c r="X3">
        <v>921</v>
      </c>
      <c r="Y3">
        <v>0</v>
      </c>
      <c r="Z3">
        <v>0</v>
      </c>
      <c r="AA3">
        <v>139</v>
      </c>
      <c r="AB3" s="3">
        <f t="shared" ref="AB3:AB43" si="10">100*AA3/$T3</f>
        <v>14.524555903866249</v>
      </c>
      <c r="AC3">
        <v>37</v>
      </c>
      <c r="AD3" s="3">
        <f t="shared" ref="AD3:AD43" si="11">100*AC3/$T3</f>
        <v>3.8662486938349008</v>
      </c>
      <c r="AE3">
        <v>14</v>
      </c>
      <c r="AF3" s="3">
        <f t="shared" ref="AF3:AF43" si="12">100*AE3/$T3</f>
        <v>1.4629049111807733</v>
      </c>
      <c r="AG3">
        <v>20</v>
      </c>
      <c r="AH3" s="3">
        <f t="shared" ref="AH3:AH43" si="13">100*AG3/$T3</f>
        <v>2.089864158829676</v>
      </c>
      <c r="AI3">
        <v>510</v>
      </c>
      <c r="AJ3" s="3">
        <f t="shared" ref="AJ3:AJ43" si="14">100*AI3/$T3</f>
        <v>53.291536050156736</v>
      </c>
      <c r="AK3">
        <v>38</v>
      </c>
      <c r="AL3" s="3">
        <f t="shared" si="3"/>
        <v>3.9707419017763845</v>
      </c>
      <c r="AM3">
        <v>163</v>
      </c>
      <c r="AN3" s="3">
        <f t="shared" ref="AN3:AN43" si="15">100*AM3/$T3</f>
        <v>17.032392894461861</v>
      </c>
      <c r="AO3" t="s">
        <v>367</v>
      </c>
      <c r="AP3" s="72" t="str">
        <f>Дума_партии[[#This Row],[КОИБ]]</f>
        <v>N</v>
      </c>
      <c r="AQ3" s="1" t="str">
        <f>IF(Дума_партии[[#This Row],[Наблюдателей]]=0,"",Дума_партии[[#This Row],[Наблюдателей]])</f>
        <v/>
      </c>
      <c r="AR3"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292.55963302752286</v>
      </c>
      <c r="AS3" s="10">
        <f>2*(Мособлдума_одномандатный_6[[#This Row],[Лазутина Лариса Евгеньевна]]-(AC$203/100)*Мособлдума_одномандатный_6[[#This Row],[Число действительных бюллетеней]])</f>
        <v>382.66799999999989</v>
      </c>
      <c r="AT3" s="10">
        <f>(Мособлдума_одномандатный_6[[#This Row],[Вброс]]+Мособлдума_одномандатный_6[[#This Row],[Перекладывание]])/2</f>
        <v>337.61381651376138</v>
      </c>
    </row>
    <row r="4" spans="2:46" x14ac:dyDescent="0.4">
      <c r="B4" t="s">
        <v>74</v>
      </c>
      <c r="C4" t="s">
        <v>366</v>
      </c>
      <c r="D4" t="s">
        <v>128</v>
      </c>
      <c r="E4" t="s">
        <v>131</v>
      </c>
      <c r="F4" s="1">
        <f t="shared" ca="1" si="4"/>
        <v>214</v>
      </c>
      <c r="G4" s="8" t="str">
        <f>Дума_партии[[#This Row],[Местоположение]]</f>
        <v>Власиха</v>
      </c>
      <c r="H4" s="2" t="str">
        <f>LEFT(Мособлдума_одномандатный_6[[#This Row],[tik]],4)&amp;"."&amp;IF(ISNUMBER(VALUE(RIGHT(Мособлдума_одномандатный_6[[#This Row],[tik]]))),RIGHT(Мособлдума_одномандатный_6[[#This Row],[tik]]),"")</f>
        <v>Влас.</v>
      </c>
      <c r="I4">
        <v>1987</v>
      </c>
      <c r="J4" s="8">
        <f>Мособлдума_одномандатный_6[[#This Row],[Число избирателей, внесенных в список на момент окончания голосования]]</f>
        <v>1987</v>
      </c>
      <c r="K4">
        <v>2000</v>
      </c>
      <c r="M4">
        <v>1012</v>
      </c>
      <c r="N4">
        <v>75</v>
      </c>
      <c r="O4" s="3">
        <f t="shared" si="5"/>
        <v>54.705586311021641</v>
      </c>
      <c r="P4" s="3">
        <f t="shared" si="6"/>
        <v>3.7745344740815301</v>
      </c>
      <c r="Q4">
        <v>913</v>
      </c>
      <c r="R4">
        <v>75</v>
      </c>
      <c r="S4">
        <v>1008</v>
      </c>
      <c r="T4" s="1">
        <f t="shared" si="7"/>
        <v>1083</v>
      </c>
      <c r="U4" s="3">
        <f t="shared" si="8"/>
        <v>6.9252077562326866</v>
      </c>
      <c r="V4">
        <v>29</v>
      </c>
      <c r="W4" s="3">
        <f t="shared" si="9"/>
        <v>2.6777469990766392</v>
      </c>
      <c r="X4">
        <v>1054</v>
      </c>
      <c r="Y4">
        <v>0</v>
      </c>
      <c r="Z4">
        <v>0</v>
      </c>
      <c r="AA4">
        <v>115</v>
      </c>
      <c r="AB4" s="3">
        <f t="shared" si="10"/>
        <v>10.618651892890121</v>
      </c>
      <c r="AC4">
        <v>17</v>
      </c>
      <c r="AD4" s="3">
        <f t="shared" si="11"/>
        <v>1.5697137580794089</v>
      </c>
      <c r="AE4">
        <v>30</v>
      </c>
      <c r="AF4" s="3">
        <f t="shared" si="12"/>
        <v>2.770083102493075</v>
      </c>
      <c r="AG4">
        <v>22</v>
      </c>
      <c r="AH4" s="3">
        <f t="shared" si="13"/>
        <v>2.0313942751615883</v>
      </c>
      <c r="AI4">
        <v>829</v>
      </c>
      <c r="AJ4" s="3">
        <f t="shared" si="14"/>
        <v>76.546629732225298</v>
      </c>
      <c r="AK4">
        <v>15</v>
      </c>
      <c r="AL4" s="3">
        <f t="shared" si="3"/>
        <v>1.3850415512465375</v>
      </c>
      <c r="AM4">
        <v>26</v>
      </c>
      <c r="AN4" s="3">
        <f t="shared" si="15"/>
        <v>2.4007386888273317</v>
      </c>
      <c r="AO4" t="s">
        <v>367</v>
      </c>
      <c r="AP4" s="72" t="str">
        <f>Дума_партии[[#This Row],[КОИБ]]</f>
        <v>N</v>
      </c>
      <c r="AQ4" s="1" t="str">
        <f>IF(Дума_партии[[#This Row],[Наблюдателей]]=0,"",Дума_партии[[#This Row],[Наблюдателей]])</f>
        <v/>
      </c>
      <c r="AR4"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709.96330275229354</v>
      </c>
      <c r="AS4" s="10">
        <f>2*(Мособлдума_одномандатный_6[[#This Row],[Лазутина Лариса Евгеньевна]]-(AC$203/100)*Мособлдума_одномандатный_6[[#This Row],[Число действительных бюллетеней]])</f>
        <v>928.63199999999995</v>
      </c>
      <c r="AT4" s="10">
        <f>(Мособлдума_одномандатный_6[[#This Row],[Вброс]]+Мособлдума_одномандатный_6[[#This Row],[Перекладывание]])/2</f>
        <v>819.29765137614675</v>
      </c>
    </row>
    <row r="5" spans="2:46" x14ac:dyDescent="0.4">
      <c r="B5" t="s">
        <v>74</v>
      </c>
      <c r="C5" t="s">
        <v>366</v>
      </c>
      <c r="D5" t="s">
        <v>128</v>
      </c>
      <c r="E5" t="s">
        <v>132</v>
      </c>
      <c r="F5" s="1">
        <f t="shared" ca="1" si="4"/>
        <v>215</v>
      </c>
      <c r="G5" s="8" t="str">
        <f>Дума_партии[[#This Row],[Местоположение]]</f>
        <v>Власиха</v>
      </c>
      <c r="H5" s="2" t="str">
        <f>LEFT(Мособлдума_одномандатный_6[[#This Row],[tik]],4)&amp;"."&amp;IF(ISNUMBER(VALUE(RIGHT(Мособлдума_одномандатный_6[[#This Row],[tik]]))),RIGHT(Мособлдума_одномандатный_6[[#This Row],[tik]]),"")</f>
        <v>Влас.</v>
      </c>
      <c r="I5">
        <v>2122</v>
      </c>
      <c r="J5" s="8">
        <f>Мособлдума_одномандатный_6[[#This Row],[Число избирателей, внесенных в список на момент окончания голосования]]</f>
        <v>2122</v>
      </c>
      <c r="K5">
        <v>2100</v>
      </c>
      <c r="M5">
        <v>1137</v>
      </c>
      <c r="N5">
        <v>23</v>
      </c>
      <c r="O5" s="3">
        <f t="shared" si="5"/>
        <v>54.665409990574929</v>
      </c>
      <c r="P5" s="3">
        <f t="shared" si="6"/>
        <v>1.0838831291234685</v>
      </c>
      <c r="Q5">
        <v>936</v>
      </c>
      <c r="R5">
        <v>23</v>
      </c>
      <c r="S5">
        <v>1133</v>
      </c>
      <c r="T5" s="1">
        <f t="shared" si="7"/>
        <v>1156</v>
      </c>
      <c r="U5" s="3">
        <f t="shared" si="8"/>
        <v>1.9896193771626298</v>
      </c>
      <c r="V5">
        <v>30</v>
      </c>
      <c r="W5" s="3">
        <f t="shared" si="9"/>
        <v>2.5951557093425603</v>
      </c>
      <c r="X5">
        <v>1126</v>
      </c>
      <c r="Y5">
        <v>4</v>
      </c>
      <c r="Z5">
        <v>0</v>
      </c>
      <c r="AA5">
        <v>157</v>
      </c>
      <c r="AB5" s="3">
        <f t="shared" si="10"/>
        <v>13.581314878892734</v>
      </c>
      <c r="AC5">
        <v>63</v>
      </c>
      <c r="AD5" s="3">
        <f t="shared" si="11"/>
        <v>5.4498269896193774</v>
      </c>
      <c r="AE5">
        <v>21</v>
      </c>
      <c r="AF5" s="3">
        <f t="shared" si="12"/>
        <v>1.8166089965397925</v>
      </c>
      <c r="AG5">
        <v>32</v>
      </c>
      <c r="AH5" s="3">
        <f t="shared" si="13"/>
        <v>2.7681660899653977</v>
      </c>
      <c r="AI5">
        <v>572</v>
      </c>
      <c r="AJ5" s="3">
        <f t="shared" si="14"/>
        <v>49.48096885813149</v>
      </c>
      <c r="AK5">
        <v>70</v>
      </c>
      <c r="AL5" s="3">
        <f t="shared" si="3"/>
        <v>6.0553633217993079</v>
      </c>
      <c r="AM5">
        <v>211</v>
      </c>
      <c r="AN5" s="3">
        <f t="shared" si="15"/>
        <v>18.252595155709344</v>
      </c>
      <c r="AO5" t="s">
        <v>367</v>
      </c>
      <c r="AP5" s="72" t="str">
        <f>Дума_партии[[#This Row],[КОИБ]]</f>
        <v>N</v>
      </c>
      <c r="AQ5" s="1" t="str">
        <f>IF(Дума_партии[[#This Row],[Наблюдателей]]=0,"",Дума_партии[[#This Row],[Наблюдателей]])</f>
        <v/>
      </c>
      <c r="AR5"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278.90519877675837</v>
      </c>
      <c r="AS5" s="10">
        <f>2*(Мособлдума_одномандатный_6[[#This Row],[Лазутина Лариса Евгеньевна]]-(AC$203/100)*Мособлдума_одномандатный_6[[#This Row],[Число действительных бюллетеней]])</f>
        <v>364.80799999999988</v>
      </c>
      <c r="AT5" s="10">
        <f>(Мособлдума_одномандатный_6[[#This Row],[Вброс]]+Мособлдума_одномандатный_6[[#This Row],[Перекладывание]])/2</f>
        <v>321.8565993883791</v>
      </c>
    </row>
    <row r="6" spans="2:46" x14ac:dyDescent="0.4">
      <c r="B6" t="s">
        <v>74</v>
      </c>
      <c r="C6" t="s">
        <v>366</v>
      </c>
      <c r="D6" t="s">
        <v>128</v>
      </c>
      <c r="E6" t="s">
        <v>133</v>
      </c>
      <c r="F6" s="1">
        <f t="shared" ca="1" si="4"/>
        <v>216</v>
      </c>
      <c r="G6" s="8" t="str">
        <f>Дума_партии[[#This Row],[Местоположение]]</f>
        <v>Власиха</v>
      </c>
      <c r="H6" s="2" t="str">
        <f>LEFT(Мособлдума_одномандатный_6[[#This Row],[tik]],4)&amp;"."&amp;IF(ISNUMBER(VALUE(RIGHT(Мособлдума_одномандатный_6[[#This Row],[tik]]))),RIGHT(Мособлдума_одномандатный_6[[#This Row],[tik]]),"")</f>
        <v>Влас.</v>
      </c>
      <c r="I6">
        <v>1909</v>
      </c>
      <c r="J6" s="8">
        <f>Мособлдума_одномандатный_6[[#This Row],[Число избирателей, внесенных в список на момент окончания голосования]]</f>
        <v>1909</v>
      </c>
      <c r="K6">
        <v>1900</v>
      </c>
      <c r="M6">
        <v>828</v>
      </c>
      <c r="N6">
        <v>96</v>
      </c>
      <c r="O6" s="3">
        <f t="shared" si="5"/>
        <v>48.402304871660554</v>
      </c>
      <c r="P6" s="3">
        <f t="shared" si="6"/>
        <v>5.0288108957569406</v>
      </c>
      <c r="Q6">
        <v>976</v>
      </c>
      <c r="R6">
        <v>96</v>
      </c>
      <c r="S6">
        <v>817</v>
      </c>
      <c r="T6" s="1">
        <f t="shared" si="7"/>
        <v>913</v>
      </c>
      <c r="U6" s="3">
        <f t="shared" si="8"/>
        <v>10.514786418400876</v>
      </c>
      <c r="V6">
        <v>34</v>
      </c>
      <c r="W6" s="3">
        <f t="shared" si="9"/>
        <v>3.7239868565169769</v>
      </c>
      <c r="X6">
        <v>879</v>
      </c>
      <c r="Y6">
        <v>0</v>
      </c>
      <c r="Z6">
        <v>0</v>
      </c>
      <c r="AA6">
        <v>181</v>
      </c>
      <c r="AB6" s="3">
        <f t="shared" si="10"/>
        <v>19.82475355969332</v>
      </c>
      <c r="AC6">
        <v>39</v>
      </c>
      <c r="AD6" s="3">
        <f t="shared" si="11"/>
        <v>4.2716319824753564</v>
      </c>
      <c r="AE6">
        <v>31</v>
      </c>
      <c r="AF6" s="3">
        <f t="shared" si="12"/>
        <v>3.3953997809419496</v>
      </c>
      <c r="AG6">
        <v>23</v>
      </c>
      <c r="AH6" s="3">
        <f t="shared" si="13"/>
        <v>2.5191675794085433</v>
      </c>
      <c r="AI6">
        <v>388</v>
      </c>
      <c r="AJ6" s="3">
        <f t="shared" si="14"/>
        <v>42.497261774370209</v>
      </c>
      <c r="AK6">
        <v>63</v>
      </c>
      <c r="AL6" s="3">
        <f t="shared" si="3"/>
        <v>6.9003285870755748</v>
      </c>
      <c r="AM6">
        <v>154</v>
      </c>
      <c r="AN6" s="3">
        <f t="shared" si="15"/>
        <v>16.867469879518072</v>
      </c>
      <c r="AO6" t="s">
        <v>367</v>
      </c>
      <c r="AP6" s="72" t="str">
        <f>Дума_партии[[#This Row],[КОИБ]]</f>
        <v>N</v>
      </c>
      <c r="AQ6" s="1" t="str">
        <f>IF(Дума_партии[[#This Row],[Наблюдателей]]=0,"",Дума_партии[[#This Row],[Наблюдателей]])</f>
        <v/>
      </c>
      <c r="AR6"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128.23547400611614</v>
      </c>
      <c r="AS6" s="10">
        <f>2*(Мособлдума_одномандатный_6[[#This Row],[Лазутина Лариса Евгеньевна]]-(AC$203/100)*Мособлдума_одномандатный_6[[#This Row],[Число действительных бюллетеней]])</f>
        <v>167.73199999999997</v>
      </c>
      <c r="AT6" s="10">
        <f>(Мособлдума_одномандатный_6[[#This Row],[Вброс]]+Мособлдума_одномандатный_6[[#This Row],[Перекладывание]])/2</f>
        <v>147.98373700305805</v>
      </c>
    </row>
    <row r="7" spans="2:46" x14ac:dyDescent="0.4">
      <c r="B7" t="s">
        <v>74</v>
      </c>
      <c r="C7" t="s">
        <v>366</v>
      </c>
      <c r="D7" t="s">
        <v>128</v>
      </c>
      <c r="E7" t="s">
        <v>134</v>
      </c>
      <c r="F7" s="1">
        <f t="shared" ca="1" si="4"/>
        <v>217</v>
      </c>
      <c r="G7" s="8" t="str">
        <f>Дума_партии[[#This Row],[Местоположение]]</f>
        <v>Власиха</v>
      </c>
      <c r="H7" s="2" t="str">
        <f>LEFT(Мособлдума_одномандатный_6[[#This Row],[tik]],4)&amp;"."&amp;IF(ISNUMBER(VALUE(RIGHT(Мособлдума_одномандатный_6[[#This Row],[tik]]))),RIGHT(Мособлдума_одномандатный_6[[#This Row],[tik]]),"")</f>
        <v>Влас.</v>
      </c>
      <c r="I7">
        <v>1948</v>
      </c>
      <c r="J7" s="8">
        <f>Мособлдума_одномандатный_6[[#This Row],[Число избирателей, внесенных в список на момент окончания голосования]]</f>
        <v>1948</v>
      </c>
      <c r="K7">
        <v>1900</v>
      </c>
      <c r="M7">
        <v>876</v>
      </c>
      <c r="N7">
        <v>103</v>
      </c>
      <c r="O7" s="3">
        <f t="shared" si="5"/>
        <v>50.256673511293634</v>
      </c>
      <c r="P7" s="3">
        <f t="shared" si="6"/>
        <v>5.2874743326488707</v>
      </c>
      <c r="Q7">
        <v>921</v>
      </c>
      <c r="R7">
        <v>103</v>
      </c>
      <c r="S7">
        <v>876</v>
      </c>
      <c r="T7" s="1">
        <f t="shared" si="7"/>
        <v>979</v>
      </c>
      <c r="U7" s="3">
        <f t="shared" si="8"/>
        <v>10.52093973442288</v>
      </c>
      <c r="V7">
        <v>18</v>
      </c>
      <c r="W7" s="3">
        <f t="shared" si="9"/>
        <v>1.8386108273748722</v>
      </c>
      <c r="X7">
        <v>961</v>
      </c>
      <c r="Y7">
        <v>0</v>
      </c>
      <c r="Z7">
        <v>0</v>
      </c>
      <c r="AA7">
        <v>124</v>
      </c>
      <c r="AB7" s="3">
        <f t="shared" si="10"/>
        <v>12.665985699693564</v>
      </c>
      <c r="AC7">
        <v>37</v>
      </c>
      <c r="AD7" s="3">
        <f t="shared" si="11"/>
        <v>3.7793667007150153</v>
      </c>
      <c r="AE7">
        <v>30</v>
      </c>
      <c r="AF7" s="3">
        <f t="shared" si="12"/>
        <v>3.0643513789581207</v>
      </c>
      <c r="AG7">
        <v>16</v>
      </c>
      <c r="AH7" s="3">
        <f t="shared" si="13"/>
        <v>1.634320735444331</v>
      </c>
      <c r="AI7">
        <v>513</v>
      </c>
      <c r="AJ7" s="3">
        <f t="shared" si="14"/>
        <v>52.400408580183864</v>
      </c>
      <c r="AK7">
        <v>60</v>
      </c>
      <c r="AL7" s="3">
        <f t="shared" si="3"/>
        <v>6.1287027579162414</v>
      </c>
      <c r="AM7">
        <v>181</v>
      </c>
      <c r="AN7" s="3">
        <f t="shared" si="15"/>
        <v>18.488253319713994</v>
      </c>
      <c r="AO7" t="s">
        <v>367</v>
      </c>
      <c r="AP7" s="72" t="str">
        <f>Дума_партии[[#This Row],[КОИБ]]</f>
        <v>N</v>
      </c>
      <c r="AQ7" s="1" t="str">
        <f>IF(Дума_партии[[#This Row],[Наблюдателей]]=0,"",Дума_партии[[#This Row],[Наблюдателей]])</f>
        <v/>
      </c>
      <c r="AR7"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275.98470948012226</v>
      </c>
      <c r="AS7" s="10">
        <f>2*(Мособлдума_одномандатный_6[[#This Row],[Лазутина Лариса Евгеньевна]]-(AC$203/100)*Мособлдума_одномандатный_6[[#This Row],[Число действительных бюллетеней]])</f>
        <v>360.98799999999994</v>
      </c>
      <c r="AT7" s="10">
        <f>(Мособлдума_одномандатный_6[[#This Row],[Вброс]]+Мособлдума_одномандатный_6[[#This Row],[Перекладывание]])/2</f>
        <v>318.48635474006107</v>
      </c>
    </row>
    <row r="8" spans="2:46" x14ac:dyDescent="0.4">
      <c r="B8" t="s">
        <v>74</v>
      </c>
      <c r="C8" t="s">
        <v>366</v>
      </c>
      <c r="D8" t="s">
        <v>128</v>
      </c>
      <c r="E8" t="s">
        <v>135</v>
      </c>
      <c r="F8" s="1">
        <f t="shared" ca="1" si="4"/>
        <v>218</v>
      </c>
      <c r="G8" s="8" t="str">
        <f>Дума_партии[[#This Row],[Местоположение]]</f>
        <v>Власиха</v>
      </c>
      <c r="H8" s="2" t="str">
        <f>LEFT(Мособлдума_одномандатный_6[[#This Row],[tik]],4)&amp;"."&amp;IF(ISNUMBER(VALUE(RIGHT(Мособлдума_одномандатный_6[[#This Row],[tik]]))),RIGHT(Мособлдума_одномандатный_6[[#This Row],[tik]]),"")</f>
        <v>Влас.</v>
      </c>
      <c r="I8">
        <v>1966</v>
      </c>
      <c r="J8" s="8">
        <f>Мособлдума_одномандатный_6[[#This Row],[Число избирателей, внесенных в список на момент окончания голосования]]</f>
        <v>1966</v>
      </c>
      <c r="K8">
        <v>1900</v>
      </c>
      <c r="M8">
        <v>1027</v>
      </c>
      <c r="N8">
        <v>143</v>
      </c>
      <c r="O8" s="3">
        <f t="shared" si="5"/>
        <v>59.511698880976603</v>
      </c>
      <c r="P8" s="3">
        <f t="shared" si="6"/>
        <v>7.2736520854526958</v>
      </c>
      <c r="Q8">
        <v>730</v>
      </c>
      <c r="R8">
        <v>143</v>
      </c>
      <c r="S8">
        <v>1027</v>
      </c>
      <c r="T8" s="1">
        <f t="shared" si="7"/>
        <v>1170</v>
      </c>
      <c r="U8" s="3">
        <f t="shared" si="8"/>
        <v>12.222222222222221</v>
      </c>
      <c r="V8">
        <v>143</v>
      </c>
      <c r="W8" s="3">
        <f t="shared" si="9"/>
        <v>12.222222222222221</v>
      </c>
      <c r="X8">
        <v>1027</v>
      </c>
      <c r="Y8">
        <v>0</v>
      </c>
      <c r="Z8">
        <v>0</v>
      </c>
      <c r="AA8">
        <v>113</v>
      </c>
      <c r="AB8" s="3">
        <f t="shared" si="10"/>
        <v>9.6581196581196576</v>
      </c>
      <c r="AC8">
        <v>56</v>
      </c>
      <c r="AD8" s="3">
        <f t="shared" si="11"/>
        <v>4.7863247863247862</v>
      </c>
      <c r="AE8">
        <v>42</v>
      </c>
      <c r="AF8" s="3">
        <f t="shared" si="12"/>
        <v>3.5897435897435899</v>
      </c>
      <c r="AG8">
        <v>40</v>
      </c>
      <c r="AH8" s="3">
        <f t="shared" si="13"/>
        <v>3.4188034188034186</v>
      </c>
      <c r="AI8">
        <v>538</v>
      </c>
      <c r="AJ8" s="3">
        <f t="shared" si="14"/>
        <v>45.982905982905983</v>
      </c>
      <c r="AK8">
        <v>104</v>
      </c>
      <c r="AL8" s="3">
        <f t="shared" si="3"/>
        <v>8.8888888888888893</v>
      </c>
      <c r="AM8">
        <v>134</v>
      </c>
      <c r="AN8" s="3">
        <f t="shared" si="15"/>
        <v>11.452991452991453</v>
      </c>
      <c r="AO8" t="s">
        <v>367</v>
      </c>
      <c r="AP8" s="72" t="str">
        <f>Дума_партии[[#This Row],[КОИБ]]</f>
        <v>N</v>
      </c>
      <c r="AQ8" s="1" t="str">
        <f>IF(Дума_партии[[#This Row],[Наблюдателей]]=0,"",Дума_партии[[#This Row],[Наблюдателей]])</f>
        <v/>
      </c>
      <c r="AR8"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279.29357798165131</v>
      </c>
      <c r="AS8" s="10">
        <f>2*(Мособлдума_одномандатный_6[[#This Row],[Лазутина Лариса Евгеньевна]]-(AC$203/100)*Мособлдума_одномандатный_6[[#This Row],[Число действительных бюллетеней]])</f>
        <v>365.31599999999992</v>
      </c>
      <c r="AT8" s="10">
        <f>(Мособлдума_одномандатный_6[[#This Row],[Вброс]]+Мособлдума_одномандатный_6[[#This Row],[Перекладывание]])/2</f>
        <v>322.30478899082561</v>
      </c>
    </row>
    <row r="9" spans="2:46" x14ac:dyDescent="0.4">
      <c r="B9" t="s">
        <v>74</v>
      </c>
      <c r="C9" t="s">
        <v>366</v>
      </c>
      <c r="D9" t="s">
        <v>128</v>
      </c>
      <c r="E9" t="s">
        <v>136</v>
      </c>
      <c r="F9" s="1">
        <f t="shared" ca="1" si="4"/>
        <v>219</v>
      </c>
      <c r="G9" s="8" t="str">
        <f>Дума_партии[[#This Row],[Местоположение]]</f>
        <v>Власиха</v>
      </c>
      <c r="H9" s="2" t="str">
        <f>LEFT(Мособлдума_одномандатный_6[[#This Row],[tik]],4)&amp;"."&amp;IF(ISNUMBER(VALUE(RIGHT(Мособлдума_одномандатный_6[[#This Row],[tik]]))),RIGHT(Мособлдума_одномандатный_6[[#This Row],[tik]]),"")</f>
        <v>Влас.</v>
      </c>
      <c r="I9">
        <v>1755</v>
      </c>
      <c r="J9" s="8">
        <f>Мособлдума_одномандатный_6[[#This Row],[Число избирателей, внесенных в список на момент окончания голосования]]</f>
        <v>1755</v>
      </c>
      <c r="K9">
        <v>1700</v>
      </c>
      <c r="M9">
        <v>1230</v>
      </c>
      <c r="N9">
        <v>53</v>
      </c>
      <c r="O9" s="3">
        <f t="shared" si="5"/>
        <v>73.105413105413106</v>
      </c>
      <c r="P9" s="3">
        <f t="shared" si="6"/>
        <v>3.0199430199430197</v>
      </c>
      <c r="Q9">
        <v>412</v>
      </c>
      <c r="R9">
        <v>53</v>
      </c>
      <c r="S9">
        <v>1225</v>
      </c>
      <c r="T9" s="1">
        <f t="shared" si="7"/>
        <v>1278</v>
      </c>
      <c r="U9" s="3">
        <f t="shared" si="8"/>
        <v>4.1471048513302033</v>
      </c>
      <c r="V9">
        <v>22</v>
      </c>
      <c r="W9" s="3">
        <f t="shared" si="9"/>
        <v>1.7214397496087637</v>
      </c>
      <c r="X9">
        <v>1256</v>
      </c>
      <c r="Y9">
        <v>5</v>
      </c>
      <c r="Z9">
        <v>0</v>
      </c>
      <c r="AA9">
        <v>139</v>
      </c>
      <c r="AB9" s="3">
        <f t="shared" si="10"/>
        <v>10.876369327073553</v>
      </c>
      <c r="AC9">
        <v>35</v>
      </c>
      <c r="AD9" s="3">
        <f t="shared" si="11"/>
        <v>2.7386541471048513</v>
      </c>
      <c r="AE9">
        <v>39</v>
      </c>
      <c r="AF9" s="3">
        <f t="shared" si="12"/>
        <v>3.051643192488263</v>
      </c>
      <c r="AG9">
        <v>16</v>
      </c>
      <c r="AH9" s="3">
        <f t="shared" si="13"/>
        <v>1.2519561815336464</v>
      </c>
      <c r="AI9">
        <v>800</v>
      </c>
      <c r="AJ9" s="3">
        <f t="shared" si="14"/>
        <v>62.597809076682317</v>
      </c>
      <c r="AK9">
        <v>54</v>
      </c>
      <c r="AL9" s="3">
        <f t="shared" si="3"/>
        <v>4.225352112676056</v>
      </c>
      <c r="AM9">
        <v>173</v>
      </c>
      <c r="AN9" s="3">
        <f t="shared" si="15"/>
        <v>13.536776212832551</v>
      </c>
      <c r="AO9" t="s">
        <v>367</v>
      </c>
      <c r="AP9" s="72" t="str">
        <f>Дума_партии[[#This Row],[КОИБ]]</f>
        <v>N</v>
      </c>
      <c r="AQ9" s="1" t="str">
        <f>IF(Дума_партии[[#This Row],[Наблюдателей]]=0,"",Дума_партии[[#This Row],[Наблюдателей]])</f>
        <v/>
      </c>
      <c r="AR9"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558.75229357798162</v>
      </c>
      <c r="AS9" s="10">
        <f>2*(Мособлдума_одномандатный_6[[#This Row],[Лазутина Лариса Евгеньевна]]-(AC$203/100)*Мособлдума_одномандатный_6[[#This Row],[Число действительных бюллетеней]])</f>
        <v>730.84799999999996</v>
      </c>
      <c r="AT9" s="10">
        <f>(Мособлдума_одномандатный_6[[#This Row],[Вброс]]+Мособлдума_одномандатный_6[[#This Row],[Перекладывание]])/2</f>
        <v>644.80014678899079</v>
      </c>
    </row>
    <row r="10" spans="2:46" x14ac:dyDescent="0.4">
      <c r="B10" t="s">
        <v>74</v>
      </c>
      <c r="C10" t="s">
        <v>366</v>
      </c>
      <c r="D10" t="s">
        <v>128</v>
      </c>
      <c r="E10" t="s">
        <v>137</v>
      </c>
      <c r="F10" s="1">
        <f t="shared" ca="1" si="4"/>
        <v>220</v>
      </c>
      <c r="G10" s="8" t="str">
        <f>Дума_партии[[#This Row],[Местоположение]]</f>
        <v>Власиха</v>
      </c>
      <c r="H10" s="2" t="str">
        <f>LEFT(Мособлдума_одномандатный_6[[#This Row],[tik]],4)&amp;"."&amp;IF(ISNUMBER(VALUE(RIGHT(Мособлдума_одномандатный_6[[#This Row],[tik]]))),RIGHT(Мособлдума_одномандатный_6[[#This Row],[tik]]),"")</f>
        <v>Влас.</v>
      </c>
      <c r="I10">
        <v>2053</v>
      </c>
      <c r="J10" s="8">
        <f>Мособлдума_одномандатный_6[[#This Row],[Число избирателей, внесенных в список на момент окончания голосования]]</f>
        <v>2053</v>
      </c>
      <c r="K10">
        <v>2100</v>
      </c>
      <c r="M10">
        <v>1331</v>
      </c>
      <c r="N10">
        <v>139</v>
      </c>
      <c r="O10" s="3">
        <f t="shared" si="5"/>
        <v>71.602532878714072</v>
      </c>
      <c r="P10" s="3">
        <f t="shared" si="6"/>
        <v>6.7705796395518751</v>
      </c>
      <c r="Q10">
        <v>630</v>
      </c>
      <c r="R10">
        <v>139</v>
      </c>
      <c r="S10">
        <v>1331</v>
      </c>
      <c r="T10" s="1">
        <f t="shared" si="7"/>
        <v>1470</v>
      </c>
      <c r="U10" s="3">
        <f t="shared" si="8"/>
        <v>9.4557823129251695</v>
      </c>
      <c r="V10">
        <v>33</v>
      </c>
      <c r="W10" s="3">
        <f t="shared" si="9"/>
        <v>2.2448979591836733</v>
      </c>
      <c r="X10">
        <v>1437</v>
      </c>
      <c r="Y10">
        <v>0</v>
      </c>
      <c r="Z10">
        <v>0</v>
      </c>
      <c r="AA10">
        <v>175</v>
      </c>
      <c r="AB10" s="3">
        <f t="shared" si="10"/>
        <v>11.904761904761905</v>
      </c>
      <c r="AC10">
        <v>38</v>
      </c>
      <c r="AD10" s="3">
        <f t="shared" si="11"/>
        <v>2.5850340136054424</v>
      </c>
      <c r="AE10">
        <v>40</v>
      </c>
      <c r="AF10" s="3">
        <f t="shared" si="12"/>
        <v>2.7210884353741496</v>
      </c>
      <c r="AG10">
        <v>28</v>
      </c>
      <c r="AH10" s="3">
        <f t="shared" si="13"/>
        <v>1.9047619047619047</v>
      </c>
      <c r="AI10">
        <v>936</v>
      </c>
      <c r="AJ10" s="3">
        <f t="shared" si="14"/>
        <v>63.673469387755105</v>
      </c>
      <c r="AK10">
        <v>64</v>
      </c>
      <c r="AL10" s="3">
        <f t="shared" si="3"/>
        <v>4.3537414965986398</v>
      </c>
      <c r="AM10">
        <v>156</v>
      </c>
      <c r="AN10" s="3">
        <f t="shared" si="15"/>
        <v>10.612244897959183</v>
      </c>
      <c r="AO10" t="s">
        <v>367</v>
      </c>
      <c r="AP10" s="72" t="str">
        <f>Дума_партии[[#This Row],[КОИБ]]</f>
        <v>N</v>
      </c>
      <c r="AQ10" s="1" t="str">
        <f>IF(Дума_партии[[#This Row],[Наблюдателей]]=0,"",Дума_партии[[#This Row],[Наблюдателей]])</f>
        <v/>
      </c>
      <c r="AR10"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670.94495412844026</v>
      </c>
      <c r="AS10" s="10">
        <f>2*(Мособлдума_одномандатный_6[[#This Row],[Лазутина Лариса Евгеньевна]]-(AC$203/100)*Мособлдума_одномандатный_6[[#This Row],[Число действительных бюллетеней]])</f>
        <v>877.59599999999989</v>
      </c>
      <c r="AT10" s="10">
        <f>(Мособлдума_одномандатный_6[[#This Row],[Вброс]]+Мособлдума_одномандатный_6[[#This Row],[Перекладывание]])/2</f>
        <v>774.27047706422013</v>
      </c>
    </row>
    <row r="11" spans="2:46" x14ac:dyDescent="0.4">
      <c r="B11" t="s">
        <v>74</v>
      </c>
      <c r="C11" t="s">
        <v>366</v>
      </c>
      <c r="D11" t="s">
        <v>138</v>
      </c>
      <c r="E11" t="s">
        <v>139</v>
      </c>
      <c r="F11" s="1">
        <f t="shared" ca="1" si="4"/>
        <v>693</v>
      </c>
      <c r="G11" s="8" t="str">
        <f>Дума_партии[[#This Row],[Местоположение]]</f>
        <v>Звенигород</v>
      </c>
      <c r="H11" s="2" t="str">
        <f>LEFT(Мособлдума_одномандатный_6[[#This Row],[tik]],4)&amp;"."&amp;IF(ISNUMBER(VALUE(RIGHT(Мособлдума_одномандатный_6[[#This Row],[tik]]))),RIGHT(Мособлдума_одномандатный_6[[#This Row],[tik]]),"")</f>
        <v>Один.</v>
      </c>
      <c r="I11">
        <v>2353</v>
      </c>
      <c r="J11" s="8">
        <f>Мособлдума_одномандатный_6[[#This Row],[Число избирателей, внесенных в список на момент окончания голосования]]</f>
        <v>2353</v>
      </c>
      <c r="K11">
        <v>2000</v>
      </c>
      <c r="M11">
        <v>664</v>
      </c>
      <c r="N11">
        <v>182</v>
      </c>
      <c r="O11" s="3">
        <f t="shared" si="5"/>
        <v>35.954101147471313</v>
      </c>
      <c r="P11" s="3">
        <f t="shared" si="6"/>
        <v>7.7348066298342539</v>
      </c>
      <c r="Q11">
        <v>1154</v>
      </c>
      <c r="R11">
        <v>176</v>
      </c>
      <c r="S11">
        <v>664</v>
      </c>
      <c r="T11" s="1">
        <f t="shared" si="7"/>
        <v>840</v>
      </c>
      <c r="U11" s="3">
        <f t="shared" si="8"/>
        <v>20.952380952380953</v>
      </c>
      <c r="V11">
        <v>67</v>
      </c>
      <c r="W11" s="3">
        <f t="shared" si="9"/>
        <v>7.9761904761904763</v>
      </c>
      <c r="X11">
        <v>773</v>
      </c>
      <c r="Y11">
        <v>0</v>
      </c>
      <c r="Z11">
        <v>0</v>
      </c>
      <c r="AA11">
        <v>155</v>
      </c>
      <c r="AB11" s="3">
        <f t="shared" si="10"/>
        <v>18.452380952380953</v>
      </c>
      <c r="AC11">
        <v>30</v>
      </c>
      <c r="AD11" s="3">
        <f t="shared" si="11"/>
        <v>3.5714285714285716</v>
      </c>
      <c r="AE11">
        <v>38</v>
      </c>
      <c r="AF11" s="3">
        <f t="shared" si="12"/>
        <v>4.5238095238095237</v>
      </c>
      <c r="AG11">
        <v>31</v>
      </c>
      <c r="AH11" s="3">
        <f t="shared" si="13"/>
        <v>3.6904761904761907</v>
      </c>
      <c r="AI11">
        <v>291</v>
      </c>
      <c r="AJ11" s="3">
        <f t="shared" si="14"/>
        <v>34.642857142857146</v>
      </c>
      <c r="AK11">
        <v>69</v>
      </c>
      <c r="AL11" s="3">
        <f t="shared" si="3"/>
        <v>8.2142857142857135</v>
      </c>
      <c r="AM11">
        <v>159</v>
      </c>
      <c r="AN11" s="3">
        <f t="shared" si="15"/>
        <v>18.928571428571427</v>
      </c>
      <c r="AO11" t="s">
        <v>368</v>
      </c>
      <c r="AP11" s="72">
        <f>Дума_партии[[#This Row],[КОИБ]]</f>
        <v>2017</v>
      </c>
      <c r="AQ11" s="1" t="str">
        <f>IF(Дума_партии[[#This Row],[Наблюдателей]]=0,"",Дума_партии[[#This Row],[Наблюдателей]])</f>
        <v/>
      </c>
      <c r="AR11"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35.996941896024396</v>
      </c>
      <c r="AS11" s="10">
        <f>2*(Мособлдума_одномандатный_6[[#This Row],[Лазутина Лариса Евгеньевна]]-(AC$203/100)*Мособлдума_одномандатный_6[[#This Row],[Число действительных бюллетеней]])</f>
        <v>47.083999999999946</v>
      </c>
      <c r="AT11" s="10">
        <f>(Мособлдума_одномандатный_6[[#This Row],[Вброс]]+Мособлдума_одномандатный_6[[#This Row],[Перекладывание]])/2</f>
        <v>41.540470948012171</v>
      </c>
    </row>
    <row r="12" spans="2:46" x14ac:dyDescent="0.4">
      <c r="B12" t="s">
        <v>74</v>
      </c>
      <c r="C12" t="s">
        <v>366</v>
      </c>
      <c r="D12" t="s">
        <v>138</v>
      </c>
      <c r="E12" t="s">
        <v>140</v>
      </c>
      <c r="F12" s="1">
        <f t="shared" ca="1" si="4"/>
        <v>694</v>
      </c>
      <c r="G12" s="8" t="str">
        <f>Дума_партии[[#This Row],[Местоположение]]</f>
        <v>Звенигород</v>
      </c>
      <c r="H12" s="2" t="str">
        <f>LEFT(Мособлдума_одномандатный_6[[#This Row],[tik]],4)&amp;"."&amp;IF(ISNUMBER(VALUE(RIGHT(Мособлдума_одномандатный_6[[#This Row],[tik]]))),RIGHT(Мособлдума_одномандатный_6[[#This Row],[tik]]),"")</f>
        <v>Один.</v>
      </c>
      <c r="I12">
        <v>2236</v>
      </c>
      <c r="J12" s="8">
        <f>Мособлдума_одномандатный_6[[#This Row],[Число избирателей, внесенных в список на момент окончания голосования]]</f>
        <v>2236</v>
      </c>
      <c r="K12">
        <v>2000</v>
      </c>
      <c r="M12">
        <v>559</v>
      </c>
      <c r="N12">
        <v>11</v>
      </c>
      <c r="O12" s="3">
        <f t="shared" si="5"/>
        <v>25.491949910554563</v>
      </c>
      <c r="P12" s="3">
        <f t="shared" si="6"/>
        <v>0.49194991055456172</v>
      </c>
      <c r="Q12">
        <v>1430</v>
      </c>
      <c r="R12">
        <v>11</v>
      </c>
      <c r="S12">
        <v>559</v>
      </c>
      <c r="T12" s="1">
        <f t="shared" si="7"/>
        <v>570</v>
      </c>
      <c r="U12" s="3">
        <f t="shared" si="8"/>
        <v>1.9298245614035088</v>
      </c>
      <c r="V12">
        <v>38</v>
      </c>
      <c r="W12" s="3">
        <f t="shared" si="9"/>
        <v>6.666666666666667</v>
      </c>
      <c r="X12">
        <v>532</v>
      </c>
      <c r="Y12">
        <v>0</v>
      </c>
      <c r="Z12">
        <v>0</v>
      </c>
      <c r="AA12">
        <v>147</v>
      </c>
      <c r="AB12" s="3">
        <f t="shared" si="10"/>
        <v>25.789473684210527</v>
      </c>
      <c r="AC12">
        <v>16</v>
      </c>
      <c r="AD12" s="3">
        <f t="shared" si="11"/>
        <v>2.807017543859649</v>
      </c>
      <c r="AE12">
        <v>21</v>
      </c>
      <c r="AF12" s="3">
        <f t="shared" si="12"/>
        <v>3.6842105263157894</v>
      </c>
      <c r="AG12">
        <v>15</v>
      </c>
      <c r="AH12" s="3">
        <f t="shared" si="13"/>
        <v>2.6315789473684212</v>
      </c>
      <c r="AI12">
        <v>134</v>
      </c>
      <c r="AJ12" s="3">
        <f t="shared" si="14"/>
        <v>23.508771929824562</v>
      </c>
      <c r="AK12">
        <v>40</v>
      </c>
      <c r="AL12" s="3">
        <f t="shared" si="3"/>
        <v>7.0175438596491224</v>
      </c>
      <c r="AM12">
        <v>159</v>
      </c>
      <c r="AN12" s="3">
        <f t="shared" si="15"/>
        <v>27.894736842105264</v>
      </c>
      <c r="AO12" t="s">
        <v>368</v>
      </c>
      <c r="AP12" s="72">
        <f>Дума_партии[[#This Row],[КОИБ]]</f>
        <v>2017</v>
      </c>
      <c r="AQ12" s="1" t="str">
        <f>IF(Дума_партии[[#This Row],[Наблюдателей]]=0,"",Дума_партии[[#This Row],[Наблюдателей]])</f>
        <v/>
      </c>
      <c r="AR12"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-76.562691131498525</v>
      </c>
      <c r="AS12" s="10">
        <f>2*(Мособлдума_одномандатный_6[[#This Row],[Лазутина Лариса Евгеньевна]]-(AC$203/100)*Мособлдума_одномандатный_6[[#This Row],[Число действительных бюллетеней]])</f>
        <v>-100.14400000000001</v>
      </c>
      <c r="AT12" s="10">
        <f>(Мособлдума_одномандатный_6[[#This Row],[Вброс]]+Мособлдума_одномандатный_6[[#This Row],[Перекладывание]])/2</f>
        <v>-88.353345565749265</v>
      </c>
    </row>
    <row r="13" spans="2:46" x14ac:dyDescent="0.4">
      <c r="B13" t="s">
        <v>74</v>
      </c>
      <c r="C13" t="s">
        <v>366</v>
      </c>
      <c r="D13" t="s">
        <v>138</v>
      </c>
      <c r="E13" t="s">
        <v>141</v>
      </c>
      <c r="F13" s="1">
        <f t="shared" ca="1" si="4"/>
        <v>695</v>
      </c>
      <c r="G13" s="8" t="str">
        <f>Дума_партии[[#This Row],[Местоположение]]</f>
        <v>Звенигород</v>
      </c>
      <c r="H13" s="2" t="str">
        <f>LEFT(Мособлдума_одномандатный_6[[#This Row],[tik]],4)&amp;"."&amp;IF(ISNUMBER(VALUE(RIGHT(Мособлдума_одномандатный_6[[#This Row],[tik]]))),RIGHT(Мособлдума_одномандатный_6[[#This Row],[tik]]),"")</f>
        <v>Один.</v>
      </c>
      <c r="I13">
        <v>878</v>
      </c>
      <c r="J13" s="8">
        <f>Мособлдума_одномандатный_6[[#This Row],[Число избирателей, внесенных в список на момент окончания голосования]]</f>
        <v>878</v>
      </c>
      <c r="K13">
        <v>700</v>
      </c>
      <c r="M13">
        <v>512</v>
      </c>
      <c r="N13">
        <v>125</v>
      </c>
      <c r="O13" s="3">
        <f t="shared" si="5"/>
        <v>72.551252847380411</v>
      </c>
      <c r="P13" s="3">
        <f t="shared" si="6"/>
        <v>14.236902050113896</v>
      </c>
      <c r="Q13">
        <v>63</v>
      </c>
      <c r="R13">
        <v>125</v>
      </c>
      <c r="S13">
        <v>512</v>
      </c>
      <c r="T13" s="1">
        <f t="shared" si="7"/>
        <v>637</v>
      </c>
      <c r="U13" s="3">
        <f t="shared" si="8"/>
        <v>19.623233908948194</v>
      </c>
      <c r="V13">
        <v>12</v>
      </c>
      <c r="W13" s="3">
        <f t="shared" si="9"/>
        <v>1.8838304552590266</v>
      </c>
      <c r="X13">
        <v>625</v>
      </c>
      <c r="Y13">
        <v>0</v>
      </c>
      <c r="Z13">
        <v>0</v>
      </c>
      <c r="AA13">
        <v>54</v>
      </c>
      <c r="AB13" s="3">
        <f t="shared" si="10"/>
        <v>8.4772370486656197</v>
      </c>
      <c r="AC13">
        <v>14</v>
      </c>
      <c r="AD13" s="3">
        <f t="shared" si="11"/>
        <v>2.197802197802198</v>
      </c>
      <c r="AE13">
        <v>9</v>
      </c>
      <c r="AF13" s="3">
        <f t="shared" si="12"/>
        <v>1.4128728414442699</v>
      </c>
      <c r="AG13">
        <v>9</v>
      </c>
      <c r="AH13" s="3">
        <f t="shared" si="13"/>
        <v>1.4128728414442699</v>
      </c>
      <c r="AI13">
        <v>436</v>
      </c>
      <c r="AJ13" s="3">
        <f t="shared" si="14"/>
        <v>68.445839874411305</v>
      </c>
      <c r="AK13">
        <v>23</v>
      </c>
      <c r="AL13" s="3">
        <f t="shared" si="3"/>
        <v>3.6106750392464679</v>
      </c>
      <c r="AM13">
        <v>80</v>
      </c>
      <c r="AN13" s="3">
        <f t="shared" si="15"/>
        <v>12.558869701726845</v>
      </c>
      <c r="AO13" t="s">
        <v>368</v>
      </c>
      <c r="AP13" s="72" t="str">
        <f>Дума_партии[[#This Row],[КОИБ]]</f>
        <v>N</v>
      </c>
      <c r="AQ13" s="1" t="str">
        <f>IF(Дума_партии[[#This Row],[Наблюдателей]]=0,"",Дума_партии[[#This Row],[Наблюдателей]])</f>
        <v/>
      </c>
      <c r="AR13"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336.00917431192659</v>
      </c>
      <c r="AS13" s="10">
        <f>2*(Мособлдума_одномандатный_6[[#This Row],[Лазутина Лариса Евгеньевна]]-(AC$203/100)*Мособлдума_одномандатный_6[[#This Row],[Число действительных бюллетеней]])</f>
        <v>439.49999999999994</v>
      </c>
      <c r="AT13" s="10">
        <f>(Мособлдума_одномандатный_6[[#This Row],[Вброс]]+Мособлдума_одномандатный_6[[#This Row],[Перекладывание]])/2</f>
        <v>387.75458715596324</v>
      </c>
    </row>
    <row r="14" spans="2:46" x14ac:dyDescent="0.4">
      <c r="B14" t="s">
        <v>74</v>
      </c>
      <c r="C14" t="s">
        <v>366</v>
      </c>
      <c r="D14" t="s">
        <v>138</v>
      </c>
      <c r="E14" t="s">
        <v>142</v>
      </c>
      <c r="F14" s="1">
        <f t="shared" ca="1" si="4"/>
        <v>696</v>
      </c>
      <c r="G14" s="8" t="str">
        <f>Дума_партии[[#This Row],[Местоположение]]</f>
        <v>Звенигород</v>
      </c>
      <c r="H14" s="2" t="str">
        <f>LEFT(Мособлдума_одномандатный_6[[#This Row],[tik]],4)&amp;"."&amp;IF(ISNUMBER(VALUE(RIGHT(Мособлдума_одномандатный_6[[#This Row],[tik]]))),RIGHT(Мособлдума_одномандатный_6[[#This Row],[tik]]),"")</f>
        <v>Один.</v>
      </c>
      <c r="I14">
        <v>1109</v>
      </c>
      <c r="J14" s="8">
        <f>Мособлдума_одномандатный_6[[#This Row],[Число избирателей, внесенных в список на момент окончания голосования]]</f>
        <v>1109</v>
      </c>
      <c r="K14">
        <v>1000</v>
      </c>
      <c r="M14">
        <v>314</v>
      </c>
      <c r="N14">
        <v>250</v>
      </c>
      <c r="O14" s="3">
        <f t="shared" si="5"/>
        <v>50.85662759242561</v>
      </c>
      <c r="P14" s="3">
        <f t="shared" si="6"/>
        <v>22.54283137962128</v>
      </c>
      <c r="Q14">
        <v>436</v>
      </c>
      <c r="R14">
        <v>250</v>
      </c>
      <c r="S14">
        <v>314</v>
      </c>
      <c r="T14" s="1">
        <f t="shared" si="7"/>
        <v>564</v>
      </c>
      <c r="U14" s="3">
        <f t="shared" si="8"/>
        <v>44.326241134751776</v>
      </c>
      <c r="V14">
        <v>18</v>
      </c>
      <c r="W14" s="3">
        <f t="shared" si="9"/>
        <v>3.1914893617021276</v>
      </c>
      <c r="X14">
        <v>546</v>
      </c>
      <c r="Y14">
        <v>0</v>
      </c>
      <c r="Z14">
        <v>0</v>
      </c>
      <c r="AA14">
        <v>92</v>
      </c>
      <c r="AB14" s="3">
        <f t="shared" si="10"/>
        <v>16.312056737588652</v>
      </c>
      <c r="AC14">
        <v>31</v>
      </c>
      <c r="AD14" s="3">
        <f t="shared" si="11"/>
        <v>5.4964539007092199</v>
      </c>
      <c r="AE14">
        <v>33</v>
      </c>
      <c r="AF14" s="3">
        <f t="shared" si="12"/>
        <v>5.8510638297872344</v>
      </c>
      <c r="AG14">
        <v>33</v>
      </c>
      <c r="AH14" s="3">
        <f t="shared" si="13"/>
        <v>5.8510638297872344</v>
      </c>
      <c r="AI14">
        <v>210</v>
      </c>
      <c r="AJ14" s="3">
        <f t="shared" si="14"/>
        <v>37.234042553191486</v>
      </c>
      <c r="AK14">
        <v>42</v>
      </c>
      <c r="AL14" s="3">
        <f t="shared" si="3"/>
        <v>7.4468085106382977</v>
      </c>
      <c r="AM14">
        <v>105</v>
      </c>
      <c r="AN14" s="3">
        <f t="shared" si="15"/>
        <v>18.617021276595743</v>
      </c>
      <c r="AO14" t="s">
        <v>368</v>
      </c>
      <c r="AP14" s="72">
        <f>Дума_партии[[#This Row],[КОИБ]]</f>
        <v>2017</v>
      </c>
      <c r="AQ14" s="1" t="str">
        <f>IF(Дума_партии[[#This Row],[Наблюдателей]]=0,"",Дума_партии[[#This Row],[Наблюдателей]])</f>
        <v/>
      </c>
      <c r="AR14"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32.238532110091711</v>
      </c>
      <c r="AS14" s="10">
        <f>2*(Мособлдума_одномандатный_6[[#This Row],[Лазутина Лариса Евгеньевна]]-(AC$203/100)*Мособлдума_одномандатный_6[[#This Row],[Число действительных бюллетеней]])</f>
        <v>42.16799999999995</v>
      </c>
      <c r="AT14" s="10">
        <f>(Мособлдума_одномандатный_6[[#This Row],[Вброс]]+Мособлдума_одномандатный_6[[#This Row],[Перекладывание]])/2</f>
        <v>37.20326605504583</v>
      </c>
    </row>
    <row r="15" spans="2:46" x14ac:dyDescent="0.4">
      <c r="B15" t="s">
        <v>74</v>
      </c>
      <c r="C15" t="s">
        <v>366</v>
      </c>
      <c r="D15" t="s">
        <v>138</v>
      </c>
      <c r="E15" t="s">
        <v>143</v>
      </c>
      <c r="F15" s="1">
        <f t="shared" ca="1" si="4"/>
        <v>697</v>
      </c>
      <c r="G15" s="8" t="str">
        <f>Дума_партии[[#This Row],[Местоположение]]</f>
        <v>Звенигород</v>
      </c>
      <c r="H15" s="2" t="str">
        <f>LEFT(Мособлдума_одномандатный_6[[#This Row],[tik]],4)&amp;"."&amp;IF(ISNUMBER(VALUE(RIGHT(Мособлдума_одномандатный_6[[#This Row],[tik]]))),RIGHT(Мособлдума_одномандатный_6[[#This Row],[tik]]),"")</f>
        <v>Один.</v>
      </c>
      <c r="I15">
        <v>2346</v>
      </c>
      <c r="J15" s="8">
        <f>Мособлдума_одномандатный_6[[#This Row],[Число избирателей, внесенных в список на момент окончания голосования]]</f>
        <v>2346</v>
      </c>
      <c r="K15">
        <v>2000</v>
      </c>
      <c r="M15">
        <v>707</v>
      </c>
      <c r="N15">
        <v>105</v>
      </c>
      <c r="O15" s="3">
        <f t="shared" si="5"/>
        <v>34.612105711849956</v>
      </c>
      <c r="P15" s="3">
        <f t="shared" si="6"/>
        <v>4.4757033248081841</v>
      </c>
      <c r="Q15">
        <v>1188</v>
      </c>
      <c r="R15">
        <v>105</v>
      </c>
      <c r="S15">
        <v>707</v>
      </c>
      <c r="T15" s="1">
        <f t="shared" si="7"/>
        <v>812</v>
      </c>
      <c r="U15" s="3">
        <f t="shared" si="8"/>
        <v>12.931034482758621</v>
      </c>
      <c r="V15">
        <v>31</v>
      </c>
      <c r="W15" s="3">
        <f t="shared" si="9"/>
        <v>3.8177339901477834</v>
      </c>
      <c r="X15">
        <v>781</v>
      </c>
      <c r="Y15">
        <v>0</v>
      </c>
      <c r="Z15">
        <v>0</v>
      </c>
      <c r="AA15">
        <v>153</v>
      </c>
      <c r="AB15" s="3">
        <f t="shared" si="10"/>
        <v>18.842364532019705</v>
      </c>
      <c r="AC15">
        <v>31</v>
      </c>
      <c r="AD15" s="3">
        <f t="shared" si="11"/>
        <v>3.8177339901477834</v>
      </c>
      <c r="AE15">
        <v>25</v>
      </c>
      <c r="AF15" s="3">
        <f t="shared" si="12"/>
        <v>3.0788177339901477</v>
      </c>
      <c r="AG15">
        <v>29</v>
      </c>
      <c r="AH15" s="3">
        <f t="shared" si="13"/>
        <v>3.5714285714285716</v>
      </c>
      <c r="AI15">
        <v>332</v>
      </c>
      <c r="AJ15" s="3">
        <f t="shared" si="14"/>
        <v>40.88669950738916</v>
      </c>
      <c r="AK15">
        <v>63</v>
      </c>
      <c r="AL15" s="3">
        <f t="shared" si="3"/>
        <v>7.7586206896551726</v>
      </c>
      <c r="AM15">
        <v>148</v>
      </c>
      <c r="AN15" s="3">
        <f t="shared" si="15"/>
        <v>18.226600985221676</v>
      </c>
      <c r="AO15" t="s">
        <v>368</v>
      </c>
      <c r="AP15" s="72">
        <f>Дума_партии[[#This Row],[КОИБ]]</f>
        <v>2017</v>
      </c>
      <c r="AQ15" s="1" t="str">
        <f>IF(Дума_партии[[#This Row],[Наблюдателей]]=0,"",Дума_партии[[#This Row],[Наблюдателей]])</f>
        <v/>
      </c>
      <c r="AR15"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94.455657492354675</v>
      </c>
      <c r="AS15" s="10">
        <f>2*(Мособлдума_одномандатный_6[[#This Row],[Лазутина Лариса Евгеньевна]]-(AC$203/100)*Мособлдума_одномандатный_6[[#This Row],[Число действительных бюллетеней]])</f>
        <v>123.548</v>
      </c>
      <c r="AT15" s="10">
        <f>(Мособлдума_одномандатный_6[[#This Row],[Вброс]]+Мособлдума_одномандатный_6[[#This Row],[Перекладывание]])/2</f>
        <v>109.00182874617734</v>
      </c>
    </row>
    <row r="16" spans="2:46" x14ac:dyDescent="0.4">
      <c r="B16" t="s">
        <v>74</v>
      </c>
      <c r="C16" t="s">
        <v>366</v>
      </c>
      <c r="D16" t="s">
        <v>138</v>
      </c>
      <c r="E16" t="s">
        <v>144</v>
      </c>
      <c r="F16" s="1">
        <f t="shared" ca="1" si="4"/>
        <v>698</v>
      </c>
      <c r="G16" s="8" t="str">
        <f>Дума_партии[[#This Row],[Местоположение]]</f>
        <v>Звенигород</v>
      </c>
      <c r="H16" s="2" t="str">
        <f>LEFT(Мособлдума_одномандатный_6[[#This Row],[tik]],4)&amp;"."&amp;IF(ISNUMBER(VALUE(RIGHT(Мособлдума_одномандатный_6[[#This Row],[tik]]))),RIGHT(Мособлдума_одномандатный_6[[#This Row],[tik]]),"")</f>
        <v>Один.</v>
      </c>
      <c r="I16">
        <v>1222</v>
      </c>
      <c r="J16" s="8">
        <f>Мособлдума_одномандатный_6[[#This Row],[Число избирателей, внесенных в список на момент окончания голосования]]</f>
        <v>1222</v>
      </c>
      <c r="K16">
        <v>1000</v>
      </c>
      <c r="M16">
        <v>393</v>
      </c>
      <c r="N16">
        <v>173</v>
      </c>
      <c r="O16" s="3">
        <f t="shared" si="5"/>
        <v>46.317512274959086</v>
      </c>
      <c r="P16" s="3">
        <f t="shared" si="6"/>
        <v>14.157119476268413</v>
      </c>
      <c r="Q16">
        <v>434</v>
      </c>
      <c r="R16">
        <v>173</v>
      </c>
      <c r="S16">
        <v>393</v>
      </c>
      <c r="T16" s="1">
        <f t="shared" si="7"/>
        <v>566</v>
      </c>
      <c r="U16" s="3">
        <f t="shared" si="8"/>
        <v>30.565371024734983</v>
      </c>
      <c r="V16">
        <v>30</v>
      </c>
      <c r="W16" s="3">
        <f t="shared" si="9"/>
        <v>5.3003533568904597</v>
      </c>
      <c r="X16">
        <v>536</v>
      </c>
      <c r="Y16">
        <v>0</v>
      </c>
      <c r="Z16">
        <v>0</v>
      </c>
      <c r="AA16">
        <v>90</v>
      </c>
      <c r="AB16" s="3">
        <f t="shared" si="10"/>
        <v>15.901060070671377</v>
      </c>
      <c r="AC16">
        <v>19</v>
      </c>
      <c r="AD16" s="3">
        <f t="shared" si="11"/>
        <v>3.3568904593639575</v>
      </c>
      <c r="AE16">
        <v>19</v>
      </c>
      <c r="AF16" s="3">
        <f t="shared" si="12"/>
        <v>3.3568904593639575</v>
      </c>
      <c r="AG16">
        <v>22</v>
      </c>
      <c r="AH16" s="3">
        <f t="shared" si="13"/>
        <v>3.8869257950530036</v>
      </c>
      <c r="AI16">
        <v>286</v>
      </c>
      <c r="AJ16" s="3">
        <f t="shared" si="14"/>
        <v>50.530035335689043</v>
      </c>
      <c r="AK16">
        <v>31</v>
      </c>
      <c r="AL16" s="3">
        <f t="shared" si="3"/>
        <v>5.4770318021201412</v>
      </c>
      <c r="AM16">
        <v>69</v>
      </c>
      <c r="AN16" s="3">
        <f t="shared" si="15"/>
        <v>12.190812720848056</v>
      </c>
      <c r="AO16" t="s">
        <v>368</v>
      </c>
      <c r="AP16" s="72">
        <f>Дума_партии[[#This Row],[КОИБ]]</f>
        <v>2017</v>
      </c>
      <c r="AQ16" s="1" t="str">
        <f>IF(Дума_партии[[#This Row],[Наблюдателей]]=0,"",Дума_партии[[#This Row],[Наблюдателей]])</f>
        <v/>
      </c>
      <c r="AR16"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153.73700305810394</v>
      </c>
      <c r="AS16" s="10">
        <f>2*(Мособлдума_одномандатный_6[[#This Row],[Лазутина Лариса Евгеньевна]]-(AC$203/100)*Мособлдума_одномандатный_6[[#This Row],[Число действительных бюллетеней]])</f>
        <v>201.08799999999997</v>
      </c>
      <c r="AT16" s="10">
        <f>(Мособлдума_одномандатный_6[[#This Row],[Вброс]]+Мособлдума_одномандатный_6[[#This Row],[Перекладывание]])/2</f>
        <v>177.41250152905195</v>
      </c>
    </row>
    <row r="17" spans="2:46" x14ac:dyDescent="0.4">
      <c r="B17" t="s">
        <v>74</v>
      </c>
      <c r="C17" t="s">
        <v>366</v>
      </c>
      <c r="D17" t="s">
        <v>138</v>
      </c>
      <c r="E17" t="s">
        <v>145</v>
      </c>
      <c r="F17" s="1">
        <f t="shared" ca="1" si="4"/>
        <v>699</v>
      </c>
      <c r="G17" s="8" t="str">
        <f>Дума_партии[[#This Row],[Местоположение]]</f>
        <v>Звенигород</v>
      </c>
      <c r="H17" s="2" t="str">
        <f>LEFT(Мособлдума_одномандатный_6[[#This Row],[tik]],4)&amp;"."&amp;IF(ISNUMBER(VALUE(RIGHT(Мособлдума_одномандатный_6[[#This Row],[tik]]))),RIGHT(Мособлдума_одномандатный_6[[#This Row],[tik]]),"")</f>
        <v>Один.</v>
      </c>
      <c r="I17">
        <v>1986</v>
      </c>
      <c r="J17" s="8">
        <f>Мособлдума_одномандатный_6[[#This Row],[Число избирателей, внесенных в список на момент окончания голосования]]</f>
        <v>1986</v>
      </c>
      <c r="K17">
        <v>1500</v>
      </c>
      <c r="M17">
        <v>554</v>
      </c>
      <c r="N17">
        <v>27</v>
      </c>
      <c r="O17" s="3">
        <f t="shared" si="5"/>
        <v>29.254783484390735</v>
      </c>
      <c r="P17" s="3">
        <f t="shared" si="6"/>
        <v>1.3595166163141994</v>
      </c>
      <c r="Q17">
        <v>919</v>
      </c>
      <c r="R17">
        <v>27</v>
      </c>
      <c r="S17">
        <v>554</v>
      </c>
      <c r="T17" s="1">
        <f t="shared" si="7"/>
        <v>581</v>
      </c>
      <c r="U17" s="3">
        <f t="shared" si="8"/>
        <v>4.6471600688468158</v>
      </c>
      <c r="V17">
        <v>40</v>
      </c>
      <c r="W17" s="3">
        <f t="shared" si="9"/>
        <v>6.8846815834767643</v>
      </c>
      <c r="X17">
        <v>541</v>
      </c>
      <c r="Y17">
        <v>0</v>
      </c>
      <c r="Z17">
        <v>0</v>
      </c>
      <c r="AA17">
        <v>115</v>
      </c>
      <c r="AB17" s="3">
        <f t="shared" si="10"/>
        <v>19.793459552495698</v>
      </c>
      <c r="AC17">
        <v>26</v>
      </c>
      <c r="AD17" s="3">
        <f t="shared" si="11"/>
        <v>4.4750430292598971</v>
      </c>
      <c r="AE17">
        <v>13</v>
      </c>
      <c r="AF17" s="3">
        <f t="shared" si="12"/>
        <v>2.2375215146299485</v>
      </c>
      <c r="AG17">
        <v>28</v>
      </c>
      <c r="AH17" s="3">
        <f t="shared" si="13"/>
        <v>4.8192771084337354</v>
      </c>
      <c r="AI17">
        <v>180</v>
      </c>
      <c r="AJ17" s="3">
        <f t="shared" si="14"/>
        <v>30.981067125645438</v>
      </c>
      <c r="AK17">
        <v>54</v>
      </c>
      <c r="AL17" s="3">
        <f t="shared" si="3"/>
        <v>9.2943201376936315</v>
      </c>
      <c r="AM17">
        <v>125</v>
      </c>
      <c r="AN17" s="3">
        <f t="shared" si="15"/>
        <v>21.514629948364888</v>
      </c>
      <c r="AO17" t="s">
        <v>368</v>
      </c>
      <c r="AP17" s="72">
        <f>Дума_партии[[#This Row],[КОИБ]]</f>
        <v>2017</v>
      </c>
      <c r="AQ17" s="1">
        <f>IF(Дума_партии[[#This Row],[Наблюдателей]]=0,"",Дума_партии[[#This Row],[Наблюдателей]])</f>
        <v>1</v>
      </c>
      <c r="AR17"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-10.987767584097895</v>
      </c>
      <c r="AS17" s="10">
        <f>2*(Мособлдума_одномандатный_6[[#This Row],[Лазутина Лариса Евгеньевна]]-(AC$203/100)*Мособлдума_одномандатный_6[[#This Row],[Число действительных бюллетеней]])</f>
        <v>-14.372000000000014</v>
      </c>
      <c r="AT17" s="10">
        <f>(Мособлдума_одномандатный_6[[#This Row],[Вброс]]+Мособлдума_одномандатный_6[[#This Row],[Перекладывание]])/2</f>
        <v>-12.679883792048955</v>
      </c>
    </row>
    <row r="18" spans="2:46" x14ac:dyDescent="0.4">
      <c r="B18" t="s">
        <v>74</v>
      </c>
      <c r="C18" t="s">
        <v>366</v>
      </c>
      <c r="D18" t="s">
        <v>138</v>
      </c>
      <c r="E18" t="s">
        <v>146</v>
      </c>
      <c r="F18" s="1">
        <f t="shared" ca="1" si="4"/>
        <v>700</v>
      </c>
      <c r="G18" s="8" t="str">
        <f>Дума_партии[[#This Row],[Местоположение]]</f>
        <v>Звенигород</v>
      </c>
      <c r="H18" s="2" t="str">
        <f>LEFT(Мособлдума_одномандатный_6[[#This Row],[tik]],4)&amp;"."&amp;IF(ISNUMBER(VALUE(RIGHT(Мособлдума_одномандатный_6[[#This Row],[tik]]))),RIGHT(Мособлдума_одномандатный_6[[#This Row],[tik]]),"")</f>
        <v>Один.</v>
      </c>
      <c r="I18">
        <v>377</v>
      </c>
      <c r="J18" s="8">
        <f>Мособлдума_одномандатный_6[[#This Row],[Число избирателей, внесенных в список на момент окончания голосования]]</f>
        <v>377</v>
      </c>
      <c r="K18">
        <v>300</v>
      </c>
      <c r="M18">
        <v>112</v>
      </c>
      <c r="N18">
        <v>48</v>
      </c>
      <c r="O18" s="3">
        <f t="shared" si="5"/>
        <v>42.440318302387269</v>
      </c>
      <c r="P18" s="3">
        <f t="shared" si="6"/>
        <v>12.73209549071618</v>
      </c>
      <c r="Q18">
        <v>140</v>
      </c>
      <c r="R18">
        <v>48</v>
      </c>
      <c r="S18">
        <v>112</v>
      </c>
      <c r="T18" s="1">
        <f t="shared" si="7"/>
        <v>160</v>
      </c>
      <c r="U18" s="3">
        <f t="shared" si="8"/>
        <v>30</v>
      </c>
      <c r="V18">
        <v>5</v>
      </c>
      <c r="W18" s="3">
        <f t="shared" si="9"/>
        <v>3.125</v>
      </c>
      <c r="X18">
        <v>155</v>
      </c>
      <c r="Y18">
        <v>0</v>
      </c>
      <c r="Z18">
        <v>0</v>
      </c>
      <c r="AA18">
        <v>21</v>
      </c>
      <c r="AB18" s="3">
        <f t="shared" si="10"/>
        <v>13.125</v>
      </c>
      <c r="AC18">
        <v>8</v>
      </c>
      <c r="AD18" s="3">
        <f t="shared" si="11"/>
        <v>5</v>
      </c>
      <c r="AE18">
        <v>8</v>
      </c>
      <c r="AF18" s="3">
        <f t="shared" si="12"/>
        <v>5</v>
      </c>
      <c r="AG18">
        <v>10</v>
      </c>
      <c r="AH18" s="3">
        <f t="shared" si="13"/>
        <v>6.25</v>
      </c>
      <c r="AI18">
        <v>49</v>
      </c>
      <c r="AJ18" s="3">
        <f t="shared" si="14"/>
        <v>30.625</v>
      </c>
      <c r="AK18">
        <v>27</v>
      </c>
      <c r="AL18" s="3">
        <f t="shared" si="3"/>
        <v>16.875</v>
      </c>
      <c r="AM18">
        <v>32</v>
      </c>
      <c r="AN18" s="3">
        <f t="shared" si="15"/>
        <v>20</v>
      </c>
      <c r="AO18" t="s">
        <v>368</v>
      </c>
      <c r="AP18" s="72">
        <f>Дума_партии[[#This Row],[КОИБ]]</f>
        <v>2017</v>
      </c>
      <c r="AQ18" s="1" t="str">
        <f>IF(Дума_партии[[#This Row],[Наблюдателей]]=0,"",Дума_партии[[#This Row],[Наблюдателей]])</f>
        <v/>
      </c>
      <c r="AR18"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-7.0795107033639297</v>
      </c>
      <c r="AS18" s="10">
        <f>2*(Мособлдума_одномандатный_6[[#This Row],[Лазутина Лариса Евгеньевна]]-(AC$203/100)*Мособлдума_одномандатный_6[[#This Row],[Число действительных бюллетеней]])</f>
        <v>-9.2600000000000051</v>
      </c>
      <c r="AT18" s="10">
        <f>(Мособлдума_одномандатный_6[[#This Row],[Вброс]]+Мособлдума_одномандатный_6[[#This Row],[Перекладывание]])/2</f>
        <v>-8.1697553516819674</v>
      </c>
    </row>
    <row r="19" spans="2:46" x14ac:dyDescent="0.4">
      <c r="B19" t="s">
        <v>74</v>
      </c>
      <c r="C19" t="s">
        <v>366</v>
      </c>
      <c r="D19" t="s">
        <v>138</v>
      </c>
      <c r="E19" t="s">
        <v>147</v>
      </c>
      <c r="F19" s="1">
        <f t="shared" ca="1" si="4"/>
        <v>701</v>
      </c>
      <c r="G19" s="8" t="str">
        <f>Дума_партии[[#This Row],[Местоположение]]</f>
        <v>Звенигород</v>
      </c>
      <c r="H19" s="2" t="str">
        <f>LEFT(Мособлдума_одномандатный_6[[#This Row],[tik]],4)&amp;"."&amp;IF(ISNUMBER(VALUE(RIGHT(Мособлдума_одномандатный_6[[#This Row],[tik]]))),RIGHT(Мособлдума_одномандатный_6[[#This Row],[tik]]),"")</f>
        <v>Один.</v>
      </c>
      <c r="I19">
        <v>1248</v>
      </c>
      <c r="J19" s="8">
        <f>Мособлдума_одномандатный_6[[#This Row],[Число избирателей, внесенных в список на момент окончания голосования]]</f>
        <v>1248</v>
      </c>
      <c r="K19">
        <v>1000</v>
      </c>
      <c r="M19">
        <v>380</v>
      </c>
      <c r="N19">
        <v>6</v>
      </c>
      <c r="O19" s="3">
        <f t="shared" si="5"/>
        <v>30.929487179487179</v>
      </c>
      <c r="P19" s="3">
        <f t="shared" si="6"/>
        <v>0.48076923076923078</v>
      </c>
      <c r="Q19">
        <v>614</v>
      </c>
      <c r="R19">
        <v>6</v>
      </c>
      <c r="S19">
        <v>374</v>
      </c>
      <c r="T19" s="1">
        <f t="shared" si="7"/>
        <v>380</v>
      </c>
      <c r="U19" s="3">
        <f t="shared" si="8"/>
        <v>1.5789473684210527</v>
      </c>
      <c r="V19">
        <v>19</v>
      </c>
      <c r="W19" s="3">
        <f t="shared" si="9"/>
        <v>5</v>
      </c>
      <c r="X19">
        <v>361</v>
      </c>
      <c r="Y19">
        <v>0</v>
      </c>
      <c r="Z19">
        <v>0</v>
      </c>
      <c r="AA19">
        <v>94</v>
      </c>
      <c r="AB19" s="3">
        <f t="shared" si="10"/>
        <v>24.736842105263158</v>
      </c>
      <c r="AC19">
        <v>25</v>
      </c>
      <c r="AD19" s="3">
        <f t="shared" si="11"/>
        <v>6.5789473684210522</v>
      </c>
      <c r="AE19">
        <v>15</v>
      </c>
      <c r="AF19" s="3">
        <f t="shared" si="12"/>
        <v>3.9473684210526314</v>
      </c>
      <c r="AG19">
        <v>13</v>
      </c>
      <c r="AH19" s="3">
        <f t="shared" si="13"/>
        <v>3.4210526315789473</v>
      </c>
      <c r="AI19">
        <v>100</v>
      </c>
      <c r="AJ19" s="3">
        <f t="shared" si="14"/>
        <v>26.315789473684209</v>
      </c>
      <c r="AK19">
        <v>34</v>
      </c>
      <c r="AL19" s="3">
        <f t="shared" si="3"/>
        <v>8.9473684210526319</v>
      </c>
      <c r="AM19">
        <v>80</v>
      </c>
      <c r="AN19" s="3">
        <f t="shared" si="15"/>
        <v>21.05263157894737</v>
      </c>
      <c r="AO19" t="s">
        <v>368</v>
      </c>
      <c r="AP19" s="72">
        <f>Дума_партии[[#This Row],[КОИБ]]</f>
        <v>2017</v>
      </c>
      <c r="AQ19" s="1" t="str">
        <f>IF(Дума_партии[[#This Row],[Наблюдателей]]=0,"",Дума_партии[[#This Row],[Наблюдателей]])</f>
        <v/>
      </c>
      <c r="AR19"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-38.08256880733947</v>
      </c>
      <c r="AS19" s="10">
        <f>2*(Мособлдума_одномандатный_6[[#This Row],[Лазутина Лариса Евгеньевна]]-(AC$203/100)*Мособлдума_одномандатный_6[[#This Row],[Число действительных бюллетеней]])</f>
        <v>-49.812000000000012</v>
      </c>
      <c r="AT19" s="10">
        <f>(Мособлдума_одномандатный_6[[#This Row],[Вброс]]+Мособлдума_одномандатный_6[[#This Row],[Перекладывание]])/2</f>
        <v>-43.947284403669741</v>
      </c>
    </row>
    <row r="20" spans="2:46" x14ac:dyDescent="0.4">
      <c r="B20" t="s">
        <v>74</v>
      </c>
      <c r="C20" t="s">
        <v>366</v>
      </c>
      <c r="D20" t="s">
        <v>138</v>
      </c>
      <c r="E20" t="s">
        <v>148</v>
      </c>
      <c r="F20" s="1">
        <f t="shared" ca="1" si="4"/>
        <v>702</v>
      </c>
      <c r="G20" s="8" t="str">
        <f>Дума_партии[[#This Row],[Местоположение]]</f>
        <v>Звенигород</v>
      </c>
      <c r="H20" s="2" t="str">
        <f>LEFT(Мособлдума_одномандатный_6[[#This Row],[tik]],4)&amp;"."&amp;IF(ISNUMBER(VALUE(RIGHT(Мособлдума_одномандатный_6[[#This Row],[tik]]))),RIGHT(Мособлдума_одномандатный_6[[#This Row],[tik]]),"")</f>
        <v>Один.</v>
      </c>
      <c r="I20">
        <v>1716</v>
      </c>
      <c r="J20" s="8">
        <f>Мособлдума_одномандатный_6[[#This Row],[Число избирателей, внесенных в список на момент окончания голосования]]</f>
        <v>1716</v>
      </c>
      <c r="K20">
        <v>1500</v>
      </c>
      <c r="M20">
        <v>616</v>
      </c>
      <c r="N20">
        <v>216</v>
      </c>
      <c r="O20" s="3">
        <f t="shared" si="5"/>
        <v>48.484848484848484</v>
      </c>
      <c r="P20" s="3">
        <f t="shared" si="6"/>
        <v>12.587412587412587</v>
      </c>
      <c r="Q20">
        <v>668</v>
      </c>
      <c r="R20">
        <v>216</v>
      </c>
      <c r="S20">
        <v>616</v>
      </c>
      <c r="T20" s="1">
        <f t="shared" si="7"/>
        <v>832</v>
      </c>
      <c r="U20" s="3">
        <f t="shared" si="8"/>
        <v>25.96153846153846</v>
      </c>
      <c r="V20">
        <v>71</v>
      </c>
      <c r="W20" s="3">
        <f t="shared" si="9"/>
        <v>8.5336538461538467</v>
      </c>
      <c r="X20">
        <v>761</v>
      </c>
      <c r="Y20">
        <v>0</v>
      </c>
      <c r="Z20">
        <v>0</v>
      </c>
      <c r="AA20">
        <v>116</v>
      </c>
      <c r="AB20" s="3">
        <f t="shared" si="10"/>
        <v>13.942307692307692</v>
      </c>
      <c r="AC20">
        <v>16</v>
      </c>
      <c r="AD20" s="3">
        <f t="shared" si="11"/>
        <v>1.9230769230769231</v>
      </c>
      <c r="AE20">
        <v>16</v>
      </c>
      <c r="AF20" s="3">
        <f t="shared" si="12"/>
        <v>1.9230769230769231</v>
      </c>
      <c r="AG20">
        <v>19</v>
      </c>
      <c r="AH20" s="3">
        <f t="shared" si="13"/>
        <v>2.2836538461538463</v>
      </c>
      <c r="AI20">
        <v>392</v>
      </c>
      <c r="AJ20" s="3">
        <f t="shared" si="14"/>
        <v>47.115384615384613</v>
      </c>
      <c r="AK20">
        <v>60</v>
      </c>
      <c r="AL20" s="3">
        <f t="shared" si="3"/>
        <v>7.2115384615384617</v>
      </c>
      <c r="AM20">
        <v>142</v>
      </c>
      <c r="AN20" s="3">
        <f t="shared" si="15"/>
        <v>17.067307692307693</v>
      </c>
      <c r="AO20" t="s">
        <v>368</v>
      </c>
      <c r="AP20" s="72">
        <f>Дума_партии[[#This Row],[КОИБ]]</f>
        <v>2017</v>
      </c>
      <c r="AQ20" s="1" t="str">
        <f>IF(Дума_партии[[#This Row],[Наблюдателей]]=0,"",Дума_партии[[#This Row],[Наблюдателей]])</f>
        <v/>
      </c>
      <c r="AR20"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196.77981651376143</v>
      </c>
      <c r="AS20" s="10">
        <f>2*(Мособлдума_одномандатный_6[[#This Row],[Лазутина Лариса Евгеньевна]]-(AC$203/100)*Мособлдума_одномандатный_6[[#This Row],[Число действительных бюллетеней]])</f>
        <v>257.38799999999992</v>
      </c>
      <c r="AT20" s="10">
        <f>(Мособлдума_одномандатный_6[[#This Row],[Вброс]]+Мособлдума_одномандатный_6[[#This Row],[Перекладывание]])/2</f>
        <v>227.08390825688068</v>
      </c>
    </row>
    <row r="21" spans="2:46" x14ac:dyDescent="0.4">
      <c r="B21" t="s">
        <v>74</v>
      </c>
      <c r="C21" t="s">
        <v>366</v>
      </c>
      <c r="D21" t="s">
        <v>138</v>
      </c>
      <c r="E21" t="s">
        <v>149</v>
      </c>
      <c r="F21" s="1">
        <f t="shared" ca="1" si="4"/>
        <v>703</v>
      </c>
      <c r="G21" s="8" t="str">
        <f>Дума_партии[[#This Row],[Местоположение]]</f>
        <v>Звенигород</v>
      </c>
      <c r="H21" s="2" t="str">
        <f>LEFT(Мособлдума_одномандатный_6[[#This Row],[tik]],4)&amp;"."&amp;IF(ISNUMBER(VALUE(RIGHT(Мособлдума_одномандатный_6[[#This Row],[tik]]))),RIGHT(Мособлдума_одномандатный_6[[#This Row],[tik]]),"")</f>
        <v>Один.</v>
      </c>
      <c r="I21">
        <v>2695</v>
      </c>
      <c r="J21" s="8">
        <f>Мособлдума_одномандатный_6[[#This Row],[Число избирателей, внесенных в список на момент окончания голосования]]</f>
        <v>2695</v>
      </c>
      <c r="K21">
        <v>2000</v>
      </c>
      <c r="M21">
        <v>740</v>
      </c>
      <c r="N21">
        <v>227</v>
      </c>
      <c r="O21" s="3">
        <f t="shared" si="5"/>
        <v>35.881261595547308</v>
      </c>
      <c r="P21" s="3">
        <f t="shared" si="6"/>
        <v>8.4230055658627094</v>
      </c>
      <c r="Q21">
        <v>1033</v>
      </c>
      <c r="R21">
        <v>227</v>
      </c>
      <c r="S21">
        <v>737</v>
      </c>
      <c r="T21" s="1">
        <f t="shared" si="7"/>
        <v>964</v>
      </c>
      <c r="U21" s="3">
        <f t="shared" si="8"/>
        <v>23.547717842323653</v>
      </c>
      <c r="V21">
        <v>52</v>
      </c>
      <c r="W21" s="3">
        <f t="shared" si="9"/>
        <v>5.394190871369295</v>
      </c>
      <c r="X21">
        <v>912</v>
      </c>
      <c r="Y21">
        <v>0</v>
      </c>
      <c r="Z21">
        <v>0</v>
      </c>
      <c r="AA21">
        <v>154</v>
      </c>
      <c r="AB21" s="3">
        <f t="shared" si="10"/>
        <v>15.975103734439834</v>
      </c>
      <c r="AC21">
        <v>42</v>
      </c>
      <c r="AD21" s="3">
        <f t="shared" si="11"/>
        <v>4.3568464730290453</v>
      </c>
      <c r="AE21">
        <v>18</v>
      </c>
      <c r="AF21" s="3">
        <f t="shared" si="12"/>
        <v>1.8672199170124482</v>
      </c>
      <c r="AG21">
        <v>27</v>
      </c>
      <c r="AH21" s="3">
        <f t="shared" si="13"/>
        <v>2.800829875518672</v>
      </c>
      <c r="AI21">
        <v>391</v>
      </c>
      <c r="AJ21" s="3">
        <f t="shared" si="14"/>
        <v>40.560165975103736</v>
      </c>
      <c r="AK21">
        <v>75</v>
      </c>
      <c r="AL21" s="3">
        <f t="shared" si="3"/>
        <v>7.7800829875518671</v>
      </c>
      <c r="AM21">
        <v>205</v>
      </c>
      <c r="AN21" s="3">
        <f t="shared" si="15"/>
        <v>21.265560165975103</v>
      </c>
      <c r="AO21" t="s">
        <v>368</v>
      </c>
      <c r="AP21" s="72">
        <f>Дума_партии[[#This Row],[КОИБ]]</f>
        <v>2017</v>
      </c>
      <c r="AQ21" s="1" t="str">
        <f>IF(Дума_партии[[#This Row],[Наблюдателей]]=0,"",Дума_партии[[#This Row],[Наблюдателей]])</f>
        <v/>
      </c>
      <c r="AR21"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115.36391437308862</v>
      </c>
      <c r="AS21" s="10">
        <f>2*(Мособлдума_одномандатный_6[[#This Row],[Лазутина Лариса Евгеньевна]]-(AC$203/100)*Мособлдума_одномандатный_6[[#This Row],[Число действительных бюллетеней]])</f>
        <v>150.89599999999996</v>
      </c>
      <c r="AT21" s="10">
        <f>(Мособлдума_одномандатный_6[[#This Row],[Вброс]]+Мособлдума_одномандатный_6[[#This Row],[Перекладывание]])/2</f>
        <v>133.12995718654429</v>
      </c>
    </row>
    <row r="22" spans="2:46" x14ac:dyDescent="0.4">
      <c r="B22" t="s">
        <v>74</v>
      </c>
      <c r="C22" t="s">
        <v>366</v>
      </c>
      <c r="D22" t="s">
        <v>138</v>
      </c>
      <c r="E22" t="s">
        <v>150</v>
      </c>
      <c r="F22" s="1">
        <f t="shared" ca="1" si="4"/>
        <v>705</v>
      </c>
      <c r="G22" s="8" t="str">
        <f>Дума_партии[[#This Row],[Местоположение]]</f>
        <v>Звенигород</v>
      </c>
      <c r="H22" s="2" t="str">
        <f>LEFT(Мособлдума_одномандатный_6[[#This Row],[tik]],4)&amp;"."&amp;IF(ISNUMBER(VALUE(RIGHT(Мособлдума_одномандатный_6[[#This Row],[tik]]))),RIGHT(Мособлдума_одномандатный_6[[#This Row],[tik]]),"")</f>
        <v>Один.</v>
      </c>
      <c r="I22">
        <v>1800</v>
      </c>
      <c r="J22" s="8">
        <f>Мособлдума_одномандатный_6[[#This Row],[Число избирателей, внесенных в список на момент окончания голосования]]</f>
        <v>1800</v>
      </c>
      <c r="K22">
        <v>1500</v>
      </c>
      <c r="M22">
        <v>432</v>
      </c>
      <c r="N22">
        <v>2</v>
      </c>
      <c r="O22" s="3">
        <f t="shared" si="5"/>
        <v>24.111111111111111</v>
      </c>
      <c r="P22" s="3">
        <f t="shared" si="6"/>
        <v>0.1111111111111111</v>
      </c>
      <c r="Q22">
        <v>1066</v>
      </c>
      <c r="R22">
        <v>2</v>
      </c>
      <c r="S22">
        <v>432</v>
      </c>
      <c r="T22" s="1">
        <f t="shared" si="7"/>
        <v>434</v>
      </c>
      <c r="U22" s="3">
        <f t="shared" si="8"/>
        <v>0.46082949308755761</v>
      </c>
      <c r="V22">
        <v>27</v>
      </c>
      <c r="W22" s="3">
        <f t="shared" si="9"/>
        <v>6.2211981566820276</v>
      </c>
      <c r="X22">
        <v>407</v>
      </c>
      <c r="Y22">
        <v>0</v>
      </c>
      <c r="Z22">
        <v>0</v>
      </c>
      <c r="AA22">
        <v>75</v>
      </c>
      <c r="AB22" s="3">
        <f t="shared" si="10"/>
        <v>17.281105990783409</v>
      </c>
      <c r="AC22">
        <v>26</v>
      </c>
      <c r="AD22" s="3">
        <f t="shared" si="11"/>
        <v>5.9907834101382491</v>
      </c>
      <c r="AE22">
        <v>19</v>
      </c>
      <c r="AF22" s="3">
        <f t="shared" si="12"/>
        <v>4.3778801843317972</v>
      </c>
      <c r="AG22">
        <v>18</v>
      </c>
      <c r="AH22" s="3">
        <f t="shared" si="13"/>
        <v>4.1474654377880187</v>
      </c>
      <c r="AI22">
        <v>139</v>
      </c>
      <c r="AJ22" s="3">
        <f t="shared" si="14"/>
        <v>32.027649769585253</v>
      </c>
      <c r="AK22">
        <v>36</v>
      </c>
      <c r="AL22" s="3">
        <f t="shared" si="3"/>
        <v>8.2949308755760374</v>
      </c>
      <c r="AM22">
        <v>94</v>
      </c>
      <c r="AN22" s="3">
        <f t="shared" si="15"/>
        <v>21.658986175115206</v>
      </c>
      <c r="AO22" t="s">
        <v>368</v>
      </c>
      <c r="AP22" s="72">
        <f>Дума_партии[[#This Row],[КОИБ]]</f>
        <v>2017</v>
      </c>
      <c r="AQ22" s="1" t="str">
        <f>IF(Дума_партии[[#This Row],[Наблюдателей]]=0,"",Дума_партии[[#This Row],[Наблюдателей]])</f>
        <v/>
      </c>
      <c r="AR22"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-2.7859327217125838</v>
      </c>
      <c r="AS22" s="10">
        <f>2*(Мособлдума_одномандатный_6[[#This Row],[Лазутина Лариса Евгеньевна]]-(AC$203/100)*Мособлдума_одномандатный_6[[#This Row],[Число действительных бюллетеней]])</f>
        <v>-3.6440000000000055</v>
      </c>
      <c r="AT22" s="10">
        <f>(Мособлдума_одномандатный_6[[#This Row],[Вброс]]+Мособлдума_одномандатный_6[[#This Row],[Перекладывание]])/2</f>
        <v>-3.2149663608562946</v>
      </c>
    </row>
    <row r="23" spans="2:46" x14ac:dyDescent="0.4">
      <c r="B23" t="s">
        <v>74</v>
      </c>
      <c r="C23" t="s">
        <v>366</v>
      </c>
      <c r="D23" t="s">
        <v>138</v>
      </c>
      <c r="E23" t="s">
        <v>151</v>
      </c>
      <c r="F23" s="1">
        <f t="shared" ca="1" si="4"/>
        <v>2048</v>
      </c>
      <c r="G23" s="8" t="str">
        <f>Дума_партии[[#This Row],[Местоположение]]</f>
        <v>Большие Вяземы</v>
      </c>
      <c r="H23" s="2" t="str">
        <f>LEFT(Мособлдума_одномандатный_6[[#This Row],[tik]],4)&amp;"."&amp;IF(ISNUMBER(VALUE(RIGHT(Мособлдума_одномандатный_6[[#This Row],[tik]]))),RIGHT(Мособлдума_одномандатный_6[[#This Row],[tik]]),"")</f>
        <v>Один.</v>
      </c>
      <c r="I23">
        <v>2108</v>
      </c>
      <c r="J23" s="8">
        <f>Мособлдума_одномандатный_6[[#This Row],[Число избирателей, внесенных в список на момент окончания голосования]]</f>
        <v>2108</v>
      </c>
      <c r="K23">
        <v>1700</v>
      </c>
      <c r="M23">
        <v>951</v>
      </c>
      <c r="N23">
        <v>21</v>
      </c>
      <c r="O23" s="3">
        <f t="shared" si="5"/>
        <v>46.110056925996204</v>
      </c>
      <c r="P23" s="3">
        <f t="shared" si="6"/>
        <v>0.99620493358633777</v>
      </c>
      <c r="Q23">
        <v>728</v>
      </c>
      <c r="R23">
        <v>21</v>
      </c>
      <c r="S23">
        <v>951</v>
      </c>
      <c r="T23" s="1">
        <f t="shared" si="7"/>
        <v>972</v>
      </c>
      <c r="U23" s="3">
        <f t="shared" si="8"/>
        <v>2.1604938271604937</v>
      </c>
      <c r="V23">
        <v>38</v>
      </c>
      <c r="W23" s="3">
        <f t="shared" si="9"/>
        <v>3.9094650205761319</v>
      </c>
      <c r="X23">
        <v>934</v>
      </c>
      <c r="Y23">
        <v>0</v>
      </c>
      <c r="Z23">
        <v>0</v>
      </c>
      <c r="AA23">
        <v>109</v>
      </c>
      <c r="AB23" s="3">
        <f t="shared" si="10"/>
        <v>11.213991769547325</v>
      </c>
      <c r="AC23">
        <v>34</v>
      </c>
      <c r="AD23" s="3">
        <f t="shared" si="11"/>
        <v>3.4979423868312756</v>
      </c>
      <c r="AE23">
        <v>20</v>
      </c>
      <c r="AF23" s="3">
        <f t="shared" si="12"/>
        <v>2.0576131687242798</v>
      </c>
      <c r="AG23">
        <v>21</v>
      </c>
      <c r="AH23" s="3">
        <f t="shared" si="13"/>
        <v>2.1604938271604937</v>
      </c>
      <c r="AI23">
        <v>560</v>
      </c>
      <c r="AJ23" s="3">
        <f t="shared" si="14"/>
        <v>57.613168724279838</v>
      </c>
      <c r="AK23">
        <v>66</v>
      </c>
      <c r="AL23" s="3">
        <f t="shared" si="3"/>
        <v>6.7901234567901234</v>
      </c>
      <c r="AM23">
        <v>124</v>
      </c>
      <c r="AN23" s="3">
        <f t="shared" si="15"/>
        <v>12.757201646090534</v>
      </c>
      <c r="AO23" t="s">
        <v>368</v>
      </c>
      <c r="AP23" s="72" t="str">
        <f>Дума_партии[[#This Row],[КОИБ]]</f>
        <v>N</v>
      </c>
      <c r="AQ23" s="1" t="str">
        <f>IF(Дума_партии[[#This Row],[Наблюдателей]]=0,"",Дума_партии[[#This Row],[Наблюдателей]])</f>
        <v/>
      </c>
      <c r="AR23"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362.13455657492352</v>
      </c>
      <c r="AS23" s="10">
        <f>2*(Мособлдума_одномандатный_6[[#This Row],[Лазутина Лариса Евгеньевна]]-(AC$203/100)*Мособлдума_одномандатный_6[[#This Row],[Число действительных бюллетеней]])</f>
        <v>473.67199999999991</v>
      </c>
      <c r="AT23" s="10">
        <f>(Мособлдума_одномандатный_6[[#This Row],[Вброс]]+Мособлдума_одномандатный_6[[#This Row],[Перекладывание]])/2</f>
        <v>417.90327828746172</v>
      </c>
    </row>
    <row r="24" spans="2:46" x14ac:dyDescent="0.4">
      <c r="B24" t="s">
        <v>74</v>
      </c>
      <c r="C24" t="s">
        <v>366</v>
      </c>
      <c r="D24" t="s">
        <v>138</v>
      </c>
      <c r="E24" t="s">
        <v>152</v>
      </c>
      <c r="F24" s="1">
        <f t="shared" ca="1" si="4"/>
        <v>2050</v>
      </c>
      <c r="G24" s="8" t="str">
        <f>Дума_партии[[#This Row],[Местоположение]]</f>
        <v>Большие Вяземы</v>
      </c>
      <c r="H24" s="2" t="str">
        <f>LEFT(Мособлдума_одномандатный_6[[#This Row],[tik]],4)&amp;"."&amp;IF(ISNUMBER(VALUE(RIGHT(Мособлдума_одномандатный_6[[#This Row],[tik]]))),RIGHT(Мособлдума_одномандатный_6[[#This Row],[tik]]),"")</f>
        <v>Один.</v>
      </c>
      <c r="I24">
        <v>2215</v>
      </c>
      <c r="J24" s="8">
        <f>Мособлдума_одномандатный_6[[#This Row],[Число избирателей, внесенных в список на момент окончания голосования]]</f>
        <v>2215</v>
      </c>
      <c r="K24">
        <v>2000</v>
      </c>
      <c r="M24">
        <v>639</v>
      </c>
      <c r="N24">
        <v>36</v>
      </c>
      <c r="O24" s="3">
        <f t="shared" si="5"/>
        <v>30.474040632054177</v>
      </c>
      <c r="P24" s="3">
        <f t="shared" si="6"/>
        <v>1.6252821670428894</v>
      </c>
      <c r="Q24">
        <v>1325</v>
      </c>
      <c r="R24">
        <v>35</v>
      </c>
      <c r="S24">
        <v>639</v>
      </c>
      <c r="T24" s="1">
        <f t="shared" si="7"/>
        <v>674</v>
      </c>
      <c r="U24" s="3">
        <f t="shared" si="8"/>
        <v>5.1928783382789314</v>
      </c>
      <c r="V24">
        <v>17</v>
      </c>
      <c r="W24" s="3">
        <f t="shared" si="9"/>
        <v>2.5222551928783381</v>
      </c>
      <c r="X24">
        <v>657</v>
      </c>
      <c r="Y24">
        <v>0</v>
      </c>
      <c r="Z24">
        <v>0</v>
      </c>
      <c r="AA24">
        <v>123</v>
      </c>
      <c r="AB24" s="3">
        <f t="shared" si="10"/>
        <v>18.249258160237389</v>
      </c>
      <c r="AC24">
        <v>28</v>
      </c>
      <c r="AD24" s="3">
        <f t="shared" si="11"/>
        <v>4.1543026706231458</v>
      </c>
      <c r="AE24">
        <v>21</v>
      </c>
      <c r="AF24" s="3">
        <f t="shared" si="12"/>
        <v>3.1157270029673589</v>
      </c>
      <c r="AG24">
        <v>33</v>
      </c>
      <c r="AH24" s="3">
        <f t="shared" si="13"/>
        <v>4.896142433234421</v>
      </c>
      <c r="AI24">
        <v>206</v>
      </c>
      <c r="AJ24" s="3">
        <f t="shared" si="14"/>
        <v>30.563798219584569</v>
      </c>
      <c r="AK24">
        <v>64</v>
      </c>
      <c r="AL24" s="3">
        <f t="shared" si="3"/>
        <v>9.4955489614243316</v>
      </c>
      <c r="AM24">
        <v>182</v>
      </c>
      <c r="AN24" s="3">
        <f t="shared" si="15"/>
        <v>27.002967359050444</v>
      </c>
      <c r="AO24" t="s">
        <v>368</v>
      </c>
      <c r="AP24" s="72">
        <f>Дума_партии[[#This Row],[КОИБ]]</f>
        <v>2017</v>
      </c>
      <c r="AQ24" s="1" t="str">
        <f>IF(Дума_партии[[#This Row],[Наблюдателей]]=0,"",Дума_партии[[#This Row],[Наблюдателей]])</f>
        <v/>
      </c>
      <c r="AR24"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-32.602446483180472</v>
      </c>
      <c r="AS24" s="10">
        <f>2*(Мособлдума_одномандатный_6[[#This Row],[Лазутина Лариса Евгеньевна]]-(AC$203/100)*Мособлдума_одномандатный_6[[#This Row],[Число действительных бюллетеней]])</f>
        <v>-42.644000000000062</v>
      </c>
      <c r="AT24" s="10">
        <f>(Мособлдума_одномандатный_6[[#This Row],[Вброс]]+Мособлдума_одномандатный_6[[#This Row],[Перекладывание]])/2</f>
        <v>-37.623223241590267</v>
      </c>
    </row>
    <row r="25" spans="2:46" x14ac:dyDescent="0.4">
      <c r="B25" t="s">
        <v>74</v>
      </c>
      <c r="C25" t="s">
        <v>366</v>
      </c>
      <c r="D25" t="s">
        <v>138</v>
      </c>
      <c r="E25" t="s">
        <v>153</v>
      </c>
      <c r="F25" s="1">
        <f t="shared" ca="1" si="4"/>
        <v>2051</v>
      </c>
      <c r="G25" s="8" t="str">
        <f>Дума_партии[[#This Row],[Местоположение]]</f>
        <v>Большие Вяземы</v>
      </c>
      <c r="H25" s="2" t="str">
        <f>LEFT(Мособлдума_одномандатный_6[[#This Row],[tik]],4)&amp;"."&amp;IF(ISNUMBER(VALUE(RIGHT(Мособлдума_одномандатный_6[[#This Row],[tik]]))),RIGHT(Мособлдума_одномандатный_6[[#This Row],[tik]]),"")</f>
        <v>Один.</v>
      </c>
      <c r="I25">
        <v>2112</v>
      </c>
      <c r="J25" s="8">
        <f>Мособлдума_одномандатный_6[[#This Row],[Число избирателей, внесенных в список на момент окончания голосования]]</f>
        <v>2112</v>
      </c>
      <c r="K25">
        <v>1800</v>
      </c>
      <c r="M25">
        <v>734</v>
      </c>
      <c r="N25">
        <v>32</v>
      </c>
      <c r="O25" s="3">
        <f t="shared" si="5"/>
        <v>36.268939393939391</v>
      </c>
      <c r="P25" s="3">
        <f t="shared" si="6"/>
        <v>1.5151515151515151</v>
      </c>
      <c r="Q25">
        <v>1034</v>
      </c>
      <c r="R25">
        <v>32</v>
      </c>
      <c r="S25">
        <v>734</v>
      </c>
      <c r="T25" s="1">
        <f t="shared" si="7"/>
        <v>766</v>
      </c>
      <c r="U25" s="3">
        <f t="shared" si="8"/>
        <v>4.1775456919060057</v>
      </c>
      <c r="V25">
        <v>43</v>
      </c>
      <c r="W25" s="3">
        <f t="shared" si="9"/>
        <v>5.6135770234986948</v>
      </c>
      <c r="X25">
        <v>723</v>
      </c>
      <c r="Y25">
        <v>0</v>
      </c>
      <c r="Z25">
        <v>0</v>
      </c>
      <c r="AA25">
        <v>169</v>
      </c>
      <c r="AB25" s="3">
        <f t="shared" si="10"/>
        <v>22.06266318537859</v>
      </c>
      <c r="AC25">
        <v>30</v>
      </c>
      <c r="AD25" s="3">
        <f t="shared" si="11"/>
        <v>3.9164490861618799</v>
      </c>
      <c r="AE25">
        <v>34</v>
      </c>
      <c r="AF25" s="3">
        <f t="shared" si="12"/>
        <v>4.438642297650131</v>
      </c>
      <c r="AG25">
        <v>13</v>
      </c>
      <c r="AH25" s="3">
        <f t="shared" si="13"/>
        <v>1.6971279373368147</v>
      </c>
      <c r="AI25">
        <v>246</v>
      </c>
      <c r="AJ25" s="3">
        <f t="shared" si="14"/>
        <v>32.114882506527415</v>
      </c>
      <c r="AK25">
        <v>52</v>
      </c>
      <c r="AL25" s="3">
        <f t="shared" si="3"/>
        <v>6.7885117493472587</v>
      </c>
      <c r="AM25">
        <v>179</v>
      </c>
      <c r="AN25" s="3">
        <f t="shared" si="15"/>
        <v>23.368146214099216</v>
      </c>
      <c r="AO25" t="s">
        <v>368</v>
      </c>
      <c r="AP25" s="72">
        <f>Дума_партии[[#This Row],[КОИБ]]</f>
        <v>2017</v>
      </c>
      <c r="AQ25" s="1" t="str">
        <f>IF(Дума_партии[[#This Row],[Наблюдателей]]=0,"",Дума_партии[[#This Row],[Наблюдателей]])</f>
        <v/>
      </c>
      <c r="AR25"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-6.357798165137666</v>
      </c>
      <c r="AS25" s="10">
        <f>2*(Мособлдума_одномандатный_6[[#This Row],[Лазутина Лариса Евгеньевна]]-(AC$203/100)*Мособлдума_одномандатный_6[[#This Row],[Число действительных бюллетеней]])</f>
        <v>-8.3160000000000309</v>
      </c>
      <c r="AT25" s="10">
        <f>(Мособлдума_одномандатный_6[[#This Row],[Вброс]]+Мособлдума_одномандатный_6[[#This Row],[Перекладывание]])/2</f>
        <v>-7.3368990825688485</v>
      </c>
    </row>
    <row r="26" spans="2:46" x14ac:dyDescent="0.4">
      <c r="B26" t="s">
        <v>74</v>
      </c>
      <c r="C26" t="s">
        <v>366</v>
      </c>
      <c r="D26" t="s">
        <v>138</v>
      </c>
      <c r="E26" t="s">
        <v>154</v>
      </c>
      <c r="F26" s="1">
        <f t="shared" ca="1" si="4"/>
        <v>2054</v>
      </c>
      <c r="G26" s="8" t="str">
        <f>Дума_партии[[#This Row],[Местоположение]]</f>
        <v>Большие Вяземы</v>
      </c>
      <c r="H26" s="2" t="str">
        <f>LEFT(Мособлдума_одномандатный_6[[#This Row],[tik]],4)&amp;"."&amp;IF(ISNUMBER(VALUE(RIGHT(Мособлдума_одномандатный_6[[#This Row],[tik]]))),RIGHT(Мособлдума_одномандатный_6[[#This Row],[tik]]),"")</f>
        <v>Один.</v>
      </c>
      <c r="I26">
        <v>2268</v>
      </c>
      <c r="J26" s="8">
        <f>Мособлдума_одномандатный_6[[#This Row],[Число избирателей, внесенных в список на момент окончания голосования]]</f>
        <v>2268</v>
      </c>
      <c r="K26">
        <v>2000</v>
      </c>
      <c r="M26">
        <v>698</v>
      </c>
      <c r="N26">
        <v>43</v>
      </c>
      <c r="O26" s="3">
        <f t="shared" si="5"/>
        <v>32.671957671957671</v>
      </c>
      <c r="P26" s="3">
        <f t="shared" si="6"/>
        <v>1.8959435626102292</v>
      </c>
      <c r="Q26">
        <v>1259</v>
      </c>
      <c r="R26">
        <v>43</v>
      </c>
      <c r="S26">
        <v>655</v>
      </c>
      <c r="T26" s="1">
        <f t="shared" si="7"/>
        <v>698</v>
      </c>
      <c r="U26" s="3">
        <f t="shared" si="8"/>
        <v>6.1604584527220627</v>
      </c>
      <c r="V26">
        <v>42</v>
      </c>
      <c r="W26" s="3">
        <f t="shared" si="9"/>
        <v>6.0171919770773643</v>
      </c>
      <c r="X26">
        <v>656</v>
      </c>
      <c r="Y26">
        <v>0</v>
      </c>
      <c r="Z26">
        <v>0</v>
      </c>
      <c r="AA26">
        <v>138</v>
      </c>
      <c r="AB26" s="3">
        <f t="shared" si="10"/>
        <v>19.770773638968482</v>
      </c>
      <c r="AC26">
        <v>29</v>
      </c>
      <c r="AD26" s="3">
        <f t="shared" si="11"/>
        <v>4.1547277936962752</v>
      </c>
      <c r="AE26">
        <v>20</v>
      </c>
      <c r="AF26" s="3">
        <f t="shared" si="12"/>
        <v>2.8653295128939829</v>
      </c>
      <c r="AG26">
        <v>25</v>
      </c>
      <c r="AH26" s="3">
        <f t="shared" si="13"/>
        <v>3.5816618911174785</v>
      </c>
      <c r="AI26">
        <v>258</v>
      </c>
      <c r="AJ26" s="3">
        <f t="shared" si="14"/>
        <v>36.96275071633238</v>
      </c>
      <c r="AK26">
        <v>52</v>
      </c>
      <c r="AL26" s="3">
        <f t="shared" si="3"/>
        <v>7.4498567335243555</v>
      </c>
      <c r="AM26">
        <v>134</v>
      </c>
      <c r="AN26" s="3">
        <f t="shared" si="15"/>
        <v>19.197707736389685</v>
      </c>
      <c r="AO26" t="s">
        <v>368</v>
      </c>
      <c r="AP26" s="72">
        <f>Дума_партии[[#This Row],[КОИБ]]</f>
        <v>2017</v>
      </c>
      <c r="AQ26" s="1" t="str">
        <f>IF(Дума_партии[[#This Row],[Наблюдателей]]=0,"",Дума_партии[[#This Row],[Наблюдателей]])</f>
        <v/>
      </c>
      <c r="AR26"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47.437308868501475</v>
      </c>
      <c r="AS26" s="10">
        <f>2*(Мособлдума_одномандатный_6[[#This Row],[Лазутина Лариса Евгеньевна]]-(AC$203/100)*Мособлдума_одномандатный_6[[#This Row],[Число действительных бюллетеней]])</f>
        <v>62.047999999999945</v>
      </c>
      <c r="AT26" s="10">
        <f>(Мособлдума_одномандатный_6[[#This Row],[Вброс]]+Мособлдума_одномандатный_6[[#This Row],[Перекладывание]])/2</f>
        <v>54.74265443425071</v>
      </c>
    </row>
    <row r="27" spans="2:46" x14ac:dyDescent="0.4">
      <c r="B27" t="s">
        <v>74</v>
      </c>
      <c r="C27" t="s">
        <v>366</v>
      </c>
      <c r="D27" t="s">
        <v>138</v>
      </c>
      <c r="E27" t="s">
        <v>155</v>
      </c>
      <c r="F27" s="1">
        <f t="shared" ca="1" si="4"/>
        <v>2056</v>
      </c>
      <c r="G27" s="8" t="str">
        <f>Дума_партии[[#This Row],[Местоположение]]</f>
        <v>Большие Вяземы</v>
      </c>
      <c r="H27" s="2" t="str">
        <f>LEFT(Мособлдума_одномандатный_6[[#This Row],[tik]],4)&amp;"."&amp;IF(ISNUMBER(VALUE(RIGHT(Мособлдума_одномандатный_6[[#This Row],[tik]]))),RIGHT(Мособлдума_одномандатный_6[[#This Row],[tik]]),"")</f>
        <v>Один.</v>
      </c>
      <c r="I27">
        <v>2112</v>
      </c>
      <c r="J27" s="8">
        <f>Мособлдума_одномандатный_6[[#This Row],[Число избирателей, внесенных в список на момент окончания голосования]]</f>
        <v>2112</v>
      </c>
      <c r="K27">
        <v>1800</v>
      </c>
      <c r="M27">
        <v>716</v>
      </c>
      <c r="N27">
        <v>79</v>
      </c>
      <c r="O27" s="3">
        <f t="shared" si="5"/>
        <v>37.642045454545453</v>
      </c>
      <c r="P27" s="3">
        <f t="shared" si="6"/>
        <v>3.7405303030303032</v>
      </c>
      <c r="Q27">
        <v>1005</v>
      </c>
      <c r="R27">
        <v>79</v>
      </c>
      <c r="S27">
        <v>716</v>
      </c>
      <c r="T27" s="1">
        <f t="shared" si="7"/>
        <v>795</v>
      </c>
      <c r="U27" s="3">
        <f t="shared" si="8"/>
        <v>9.9371069182389942</v>
      </c>
      <c r="V27">
        <v>55</v>
      </c>
      <c r="W27" s="3">
        <f t="shared" si="9"/>
        <v>6.9182389937106921</v>
      </c>
      <c r="X27">
        <v>740</v>
      </c>
      <c r="Y27">
        <v>0</v>
      </c>
      <c r="Z27">
        <v>0</v>
      </c>
      <c r="AA27">
        <v>154</v>
      </c>
      <c r="AB27" s="3">
        <f t="shared" si="10"/>
        <v>19.371069182389938</v>
      </c>
      <c r="AC27">
        <v>23</v>
      </c>
      <c r="AD27" s="3">
        <f t="shared" si="11"/>
        <v>2.8930817610062891</v>
      </c>
      <c r="AE27">
        <v>12</v>
      </c>
      <c r="AF27" s="3">
        <f t="shared" si="12"/>
        <v>1.5094339622641511</v>
      </c>
      <c r="AG27">
        <v>26</v>
      </c>
      <c r="AH27" s="3">
        <f t="shared" si="13"/>
        <v>3.2704402515723272</v>
      </c>
      <c r="AI27">
        <v>288</v>
      </c>
      <c r="AJ27" s="3">
        <f t="shared" si="14"/>
        <v>36.226415094339622</v>
      </c>
      <c r="AK27">
        <v>55</v>
      </c>
      <c r="AL27" s="3">
        <f t="shared" si="3"/>
        <v>6.9182389937106921</v>
      </c>
      <c r="AM27">
        <v>182</v>
      </c>
      <c r="AN27" s="3">
        <f t="shared" si="15"/>
        <v>22.89308176100629</v>
      </c>
      <c r="AO27" t="s">
        <v>368</v>
      </c>
      <c r="AP27" s="72">
        <f>Дума_партии[[#This Row],[КОИБ]]</f>
        <v>2017</v>
      </c>
      <c r="AQ27" s="1" t="str">
        <f>IF(Дума_партии[[#This Row],[Наблюдателей]]=0,"",Дума_партии[[#This Row],[Наблюдателей]])</f>
        <v/>
      </c>
      <c r="AR27"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48.86850152905194</v>
      </c>
      <c r="AS27" s="10">
        <f>2*(Мособлдума_одномандатный_6[[#This Row],[Лазутина Лариса Евгеньевна]]-(AC$203/100)*Мособлдума_одномандатный_6[[#This Row],[Число действительных бюллетеней]])</f>
        <v>63.919999999999959</v>
      </c>
      <c r="AT27" s="10">
        <f>(Мособлдума_одномандатный_6[[#This Row],[Вброс]]+Мособлдума_одномандатный_6[[#This Row],[Перекладывание]])/2</f>
        <v>56.39425076452595</v>
      </c>
    </row>
    <row r="28" spans="2:46" s="17" customFormat="1" hidden="1" x14ac:dyDescent="0.4">
      <c r="G28" s="24"/>
      <c r="H28" s="42"/>
      <c r="J28" s="24"/>
      <c r="O28" s="25"/>
      <c r="P28" s="25"/>
      <c r="U28" s="25"/>
      <c r="W28" s="25"/>
      <c r="AB28" s="25"/>
      <c r="AD28" s="25"/>
      <c r="AF28" s="25"/>
      <c r="AH28" s="25"/>
      <c r="AJ28" s="25"/>
      <c r="AK28" s="25"/>
      <c r="AL28" s="25"/>
      <c r="AN28" s="25"/>
      <c r="AR28" s="26"/>
      <c r="AS28" s="26"/>
      <c r="AT28" s="26"/>
    </row>
    <row r="29" spans="2:46" s="17" customFormat="1" hidden="1" x14ac:dyDescent="0.4">
      <c r="G29" s="24"/>
      <c r="H29" s="42"/>
      <c r="J29" s="24"/>
      <c r="O29" s="25"/>
      <c r="P29" s="25"/>
      <c r="U29" s="25"/>
      <c r="W29" s="25"/>
      <c r="AB29" s="25"/>
      <c r="AD29" s="25"/>
      <c r="AF29" s="25"/>
      <c r="AH29" s="25"/>
      <c r="AJ29" s="25"/>
      <c r="AK29" s="25"/>
      <c r="AL29" s="25"/>
      <c r="AN29" s="25"/>
      <c r="AR29" s="26"/>
      <c r="AS29" s="26"/>
      <c r="AT29" s="26"/>
    </row>
    <row r="30" spans="2:46" s="17" customFormat="1" hidden="1" x14ac:dyDescent="0.4">
      <c r="G30" s="24"/>
      <c r="H30" s="42"/>
      <c r="J30" s="24"/>
      <c r="O30" s="25"/>
      <c r="P30" s="25"/>
      <c r="U30" s="25"/>
      <c r="W30" s="25"/>
      <c r="AB30" s="25"/>
      <c r="AD30" s="25"/>
      <c r="AF30" s="25"/>
      <c r="AH30" s="25"/>
      <c r="AJ30" s="25"/>
      <c r="AK30" s="25"/>
      <c r="AL30" s="25"/>
      <c r="AN30" s="25"/>
      <c r="AR30" s="26"/>
      <c r="AS30" s="26"/>
      <c r="AT30" s="26"/>
    </row>
    <row r="31" spans="2:46" s="17" customFormat="1" hidden="1" x14ac:dyDescent="0.4">
      <c r="G31" s="24"/>
      <c r="H31" s="42"/>
      <c r="J31" s="24"/>
      <c r="O31" s="25"/>
      <c r="P31" s="25"/>
      <c r="U31" s="25"/>
      <c r="W31" s="25"/>
      <c r="AB31" s="25"/>
      <c r="AD31" s="25"/>
      <c r="AF31" s="25"/>
      <c r="AH31" s="25"/>
      <c r="AJ31" s="25"/>
      <c r="AK31" s="25"/>
      <c r="AL31" s="25"/>
      <c r="AN31" s="25"/>
      <c r="AR31" s="26"/>
      <c r="AS31" s="26"/>
      <c r="AT31" s="26"/>
    </row>
    <row r="32" spans="2:46" s="17" customFormat="1" hidden="1" x14ac:dyDescent="0.4">
      <c r="G32" s="24"/>
      <c r="H32" s="42"/>
      <c r="J32" s="24"/>
      <c r="O32" s="25"/>
      <c r="P32" s="25"/>
      <c r="U32" s="25"/>
      <c r="W32" s="25"/>
      <c r="AB32" s="25"/>
      <c r="AD32" s="25"/>
      <c r="AF32" s="25"/>
      <c r="AH32" s="25"/>
      <c r="AJ32" s="25"/>
      <c r="AK32" s="25"/>
      <c r="AL32" s="25"/>
      <c r="AN32" s="25"/>
      <c r="AR32" s="26"/>
      <c r="AS32" s="26"/>
      <c r="AT32" s="26"/>
    </row>
    <row r="33" spans="2:46" s="17" customFormat="1" hidden="1" x14ac:dyDescent="0.4">
      <c r="G33" s="24"/>
      <c r="H33" s="42"/>
      <c r="J33" s="24"/>
      <c r="O33" s="25"/>
      <c r="P33" s="25"/>
      <c r="U33" s="25"/>
      <c r="W33" s="25"/>
      <c r="AB33" s="25"/>
      <c r="AD33" s="25"/>
      <c r="AF33" s="25"/>
      <c r="AH33" s="25"/>
      <c r="AJ33" s="25"/>
      <c r="AK33" s="25"/>
      <c r="AL33" s="25"/>
      <c r="AN33" s="25"/>
      <c r="AR33" s="26"/>
      <c r="AS33" s="26"/>
      <c r="AT33" s="26"/>
    </row>
    <row r="34" spans="2:46" s="17" customFormat="1" hidden="1" x14ac:dyDescent="0.4">
      <c r="G34" s="24"/>
      <c r="H34" s="42"/>
      <c r="J34" s="24"/>
      <c r="O34" s="25"/>
      <c r="P34" s="25"/>
      <c r="U34" s="25"/>
      <c r="W34" s="25"/>
      <c r="AB34" s="25"/>
      <c r="AD34" s="25"/>
      <c r="AF34" s="25"/>
      <c r="AH34" s="25"/>
      <c r="AJ34" s="25"/>
      <c r="AK34" s="25"/>
      <c r="AL34" s="25"/>
      <c r="AN34" s="25"/>
      <c r="AR34" s="26"/>
      <c r="AS34" s="26"/>
      <c r="AT34" s="26"/>
    </row>
    <row r="35" spans="2:46" s="17" customFormat="1" hidden="1" x14ac:dyDescent="0.4">
      <c r="G35" s="24"/>
      <c r="H35" s="42"/>
      <c r="J35" s="24"/>
      <c r="O35" s="25"/>
      <c r="P35" s="25"/>
      <c r="U35" s="25"/>
      <c r="W35" s="25"/>
      <c r="AB35" s="25"/>
      <c r="AD35" s="25"/>
      <c r="AF35" s="25"/>
      <c r="AH35" s="25"/>
      <c r="AJ35" s="25"/>
      <c r="AK35" s="25"/>
      <c r="AL35" s="25"/>
      <c r="AN35" s="25"/>
      <c r="AR35" s="26"/>
      <c r="AS35" s="26"/>
      <c r="AT35" s="26"/>
    </row>
    <row r="36" spans="2:46" s="17" customFormat="1" hidden="1" x14ac:dyDescent="0.4">
      <c r="G36" s="24"/>
      <c r="H36" s="42"/>
      <c r="J36" s="24"/>
      <c r="O36" s="25"/>
      <c r="P36" s="25"/>
      <c r="U36" s="25"/>
      <c r="W36" s="25"/>
      <c r="AB36" s="25"/>
      <c r="AD36" s="25"/>
      <c r="AF36" s="25"/>
      <c r="AH36" s="25"/>
      <c r="AJ36" s="25"/>
      <c r="AK36" s="25"/>
      <c r="AL36" s="25"/>
      <c r="AN36" s="25"/>
      <c r="AR36" s="26"/>
      <c r="AS36" s="26"/>
      <c r="AT36" s="26"/>
    </row>
    <row r="37" spans="2:46" x14ac:dyDescent="0.4">
      <c r="B37" t="s">
        <v>74</v>
      </c>
      <c r="C37" t="s">
        <v>366</v>
      </c>
      <c r="D37" t="s">
        <v>138</v>
      </c>
      <c r="E37" t="s">
        <v>165</v>
      </c>
      <c r="F37" s="1">
        <f t="shared" ca="1" si="4"/>
        <v>2074</v>
      </c>
      <c r="G37" s="8" t="str">
        <f>Дума_партии[[#This Row],[Местоположение]]</f>
        <v>Горки-2</v>
      </c>
      <c r="H37" s="2" t="str">
        <f>LEFT(Мособлдума_одномандатный_6[[#This Row],[tik]],4)&amp;"."&amp;IF(ISNUMBER(VALUE(RIGHT(Мособлдума_одномандатный_6[[#This Row],[tik]]))),RIGHT(Мособлдума_одномандатный_6[[#This Row],[tik]]),"")</f>
        <v>Один.</v>
      </c>
      <c r="I37">
        <v>2579</v>
      </c>
      <c r="J37" s="8">
        <f>Мособлдума_одномандатный_6[[#This Row],[Число избирателей, внесенных в список на момент окончания голосования]]</f>
        <v>2579</v>
      </c>
      <c r="K37">
        <v>2000</v>
      </c>
      <c r="M37">
        <v>892</v>
      </c>
      <c r="N37">
        <v>667</v>
      </c>
      <c r="O37" s="3">
        <f t="shared" si="5"/>
        <v>60.449786739046139</v>
      </c>
      <c r="P37" s="3">
        <f t="shared" si="6"/>
        <v>25.862737495153159</v>
      </c>
      <c r="Q37">
        <v>441</v>
      </c>
      <c r="R37">
        <v>667</v>
      </c>
      <c r="S37">
        <v>892</v>
      </c>
      <c r="T37" s="1">
        <f t="shared" si="7"/>
        <v>1559</v>
      </c>
      <c r="U37" s="3">
        <f t="shared" si="8"/>
        <v>42.783835792174472</v>
      </c>
      <c r="V37">
        <v>54</v>
      </c>
      <c r="W37" s="3">
        <f t="shared" si="9"/>
        <v>3.4637588197562539</v>
      </c>
      <c r="X37">
        <v>1505</v>
      </c>
      <c r="Y37">
        <v>0</v>
      </c>
      <c r="Z37">
        <v>0</v>
      </c>
      <c r="AA37">
        <v>168</v>
      </c>
      <c r="AB37" s="3">
        <f t="shared" si="10"/>
        <v>10.77613855035279</v>
      </c>
      <c r="AC37">
        <v>42</v>
      </c>
      <c r="AD37" s="3">
        <f t="shared" si="11"/>
        <v>2.6940346375881976</v>
      </c>
      <c r="AE37">
        <v>38</v>
      </c>
      <c r="AF37" s="3">
        <f t="shared" si="12"/>
        <v>2.4374599101988452</v>
      </c>
      <c r="AG37">
        <v>28</v>
      </c>
      <c r="AH37" s="3">
        <f t="shared" si="13"/>
        <v>1.7960230917254651</v>
      </c>
      <c r="AI37">
        <v>980</v>
      </c>
      <c r="AJ37" s="3">
        <f t="shared" si="14"/>
        <v>62.860808210391276</v>
      </c>
      <c r="AK37">
        <v>66</v>
      </c>
      <c r="AL37" s="3">
        <f t="shared" si="3"/>
        <v>4.2334830019243102</v>
      </c>
      <c r="AM37">
        <v>183</v>
      </c>
      <c r="AN37" s="3">
        <f t="shared" si="15"/>
        <v>11.738293778062861</v>
      </c>
      <c r="AO37" t="s">
        <v>368</v>
      </c>
      <c r="AP37" s="72">
        <f>Дума_партии[[#This Row],[КОИБ]]</f>
        <v>2017</v>
      </c>
      <c r="AQ37" s="1" t="str">
        <f>IF(Дума_партии[[#This Row],[Наблюдателей]]=0,"",Дума_партии[[#This Row],[Наблюдателей]])</f>
        <v/>
      </c>
      <c r="AR37"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702.24770642201827</v>
      </c>
      <c r="AS37" s="10">
        <f>2*(Мособлдума_одномандатный_6[[#This Row],[Лазутина Лариса Евгеньевна]]-(AC$203/100)*Мособлдума_одномандатный_6[[#This Row],[Число действительных бюллетеней]])</f>
        <v>918.54</v>
      </c>
      <c r="AT37" s="10">
        <f>(Мособлдума_одномандатный_6[[#This Row],[Вброс]]+Мособлдума_одномандатный_6[[#This Row],[Перекладывание]])/2</f>
        <v>810.39385321100917</v>
      </c>
    </row>
    <row r="38" spans="2:46" x14ac:dyDescent="0.4">
      <c r="B38" t="s">
        <v>74</v>
      </c>
      <c r="C38" t="s">
        <v>366</v>
      </c>
      <c r="D38" t="s">
        <v>138</v>
      </c>
      <c r="E38" t="s">
        <v>166</v>
      </c>
      <c r="F38" s="1">
        <f t="shared" ca="1" si="4"/>
        <v>3605</v>
      </c>
      <c r="G38" s="8" t="str">
        <f>Дума_партии[[#This Row],[Местоположение]]</f>
        <v>Назарьево</v>
      </c>
      <c r="H38" s="2" t="str">
        <f>LEFT(Мособлдума_одномандатный_6[[#This Row],[tik]],4)&amp;"."&amp;IF(ISNUMBER(VALUE(RIGHT(Мособлдума_одномандатный_6[[#This Row],[tik]]))),RIGHT(Мособлдума_одномандатный_6[[#This Row],[tik]]),"")</f>
        <v>Один.</v>
      </c>
      <c r="I38">
        <v>1659</v>
      </c>
      <c r="J38" s="8">
        <f>Мособлдума_одномандатный_6[[#This Row],[Число избирателей, внесенных в список на момент окончания голосования]]</f>
        <v>1659</v>
      </c>
      <c r="K38">
        <v>1500</v>
      </c>
      <c r="M38">
        <v>1083</v>
      </c>
      <c r="N38">
        <v>255</v>
      </c>
      <c r="O38" s="3">
        <f t="shared" si="5"/>
        <v>80.650994575045203</v>
      </c>
      <c r="P38" s="3">
        <f t="shared" si="6"/>
        <v>15.370705244122966</v>
      </c>
      <c r="Q38">
        <v>162</v>
      </c>
      <c r="R38">
        <v>255</v>
      </c>
      <c r="S38">
        <v>1083</v>
      </c>
      <c r="T38" s="1">
        <f t="shared" si="7"/>
        <v>1338</v>
      </c>
      <c r="U38" s="3">
        <f t="shared" si="8"/>
        <v>19.058295964125559</v>
      </c>
      <c r="V38">
        <v>0</v>
      </c>
      <c r="W38" s="3">
        <f t="shared" si="9"/>
        <v>0</v>
      </c>
      <c r="X38">
        <v>1338</v>
      </c>
      <c r="Y38">
        <v>0</v>
      </c>
      <c r="Z38">
        <v>0</v>
      </c>
      <c r="AA38">
        <v>125</v>
      </c>
      <c r="AB38" s="3">
        <f t="shared" si="10"/>
        <v>9.3423019431988035</v>
      </c>
      <c r="AC38">
        <v>40</v>
      </c>
      <c r="AD38" s="3">
        <f t="shared" si="11"/>
        <v>2.9895366218236172</v>
      </c>
      <c r="AE38">
        <v>32</v>
      </c>
      <c r="AF38" s="3">
        <f t="shared" si="12"/>
        <v>2.391629297458894</v>
      </c>
      <c r="AG38">
        <v>28</v>
      </c>
      <c r="AH38" s="3">
        <f t="shared" si="13"/>
        <v>2.0926756352765321</v>
      </c>
      <c r="AI38">
        <v>956</v>
      </c>
      <c r="AJ38" s="3">
        <f t="shared" si="14"/>
        <v>71.449925261584454</v>
      </c>
      <c r="AK38">
        <v>66</v>
      </c>
      <c r="AL38" s="3">
        <f t="shared" si="3"/>
        <v>4.9327354260089686</v>
      </c>
      <c r="AM38">
        <v>91</v>
      </c>
      <c r="AN38" s="3">
        <f t="shared" si="15"/>
        <v>6.8011958146487297</v>
      </c>
      <c r="AO38" t="s">
        <v>368</v>
      </c>
      <c r="AP38" s="72" t="str">
        <f>Дума_партии[[#This Row],[КОИБ]]</f>
        <v>N</v>
      </c>
      <c r="AQ38" s="1" t="str">
        <f>IF(Дума_партии[[#This Row],[Наблюдателей]]=0,"",Дума_партии[[#This Row],[Наблюдателей]])</f>
        <v/>
      </c>
      <c r="AR38"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753.90214067278282</v>
      </c>
      <c r="AS38" s="10">
        <f>2*(Мособлдума_одномандатный_6[[#This Row],[Лазутина Лариса Евгеньевна]]-(AC$203/100)*Мособлдума_одномандатный_6[[#This Row],[Число действительных бюллетеней]])</f>
        <v>986.10399999999993</v>
      </c>
      <c r="AT38" s="10">
        <f>(Мособлдума_одномандатный_6[[#This Row],[Вброс]]+Мособлдума_одномандатный_6[[#This Row],[Перекладывание]])/2</f>
        <v>870.00307033639137</v>
      </c>
    </row>
    <row r="39" spans="2:46" x14ac:dyDescent="0.4">
      <c r="B39" t="s">
        <v>74</v>
      </c>
      <c r="C39" t="s">
        <v>366</v>
      </c>
      <c r="D39" t="s">
        <v>138</v>
      </c>
      <c r="E39" t="s">
        <v>167</v>
      </c>
      <c r="F39" s="1">
        <f t="shared" ca="1" si="4"/>
        <v>3606</v>
      </c>
      <c r="G39" s="8" t="str">
        <f>Дума_партии[[#This Row],[Местоположение]]</f>
        <v>Назарьево</v>
      </c>
      <c r="H39" s="2" t="str">
        <f>LEFT(Мособлдума_одномандатный_6[[#This Row],[tik]],4)&amp;"."&amp;IF(ISNUMBER(VALUE(RIGHT(Мособлдума_одномандатный_6[[#This Row],[tik]]))),RIGHT(Мособлдума_одномандатный_6[[#This Row],[tik]]),"")</f>
        <v>Один.</v>
      </c>
      <c r="I39">
        <v>1947</v>
      </c>
      <c r="J39" s="8">
        <f>Мособлдума_одномандатный_6[[#This Row],[Число избирателей, внесенных в список на момент окончания голосования]]</f>
        <v>1947</v>
      </c>
      <c r="K39">
        <v>1500</v>
      </c>
      <c r="M39">
        <v>525</v>
      </c>
      <c r="N39">
        <v>197</v>
      </c>
      <c r="O39" s="3">
        <f t="shared" si="5"/>
        <v>37.082691319979453</v>
      </c>
      <c r="P39" s="3">
        <f t="shared" si="6"/>
        <v>10.118130457113509</v>
      </c>
      <c r="Q39">
        <v>778</v>
      </c>
      <c r="R39">
        <v>197</v>
      </c>
      <c r="S39">
        <v>525</v>
      </c>
      <c r="T39" s="1">
        <f t="shared" si="7"/>
        <v>722</v>
      </c>
      <c r="U39" s="3">
        <f t="shared" si="8"/>
        <v>27.285318559556785</v>
      </c>
      <c r="V39">
        <v>39</v>
      </c>
      <c r="W39" s="3">
        <f t="shared" si="9"/>
        <v>5.4016620498614962</v>
      </c>
      <c r="X39">
        <v>683</v>
      </c>
      <c r="Y39">
        <v>0</v>
      </c>
      <c r="Z39">
        <v>0</v>
      </c>
      <c r="AA39">
        <v>100</v>
      </c>
      <c r="AB39" s="3">
        <f t="shared" si="10"/>
        <v>13.850415512465373</v>
      </c>
      <c r="AC39">
        <v>20</v>
      </c>
      <c r="AD39" s="3">
        <f t="shared" si="11"/>
        <v>2.770083102493075</v>
      </c>
      <c r="AE39">
        <v>10</v>
      </c>
      <c r="AF39" s="3">
        <f t="shared" si="12"/>
        <v>1.3850415512465375</v>
      </c>
      <c r="AG39">
        <v>19</v>
      </c>
      <c r="AH39" s="3">
        <f t="shared" si="13"/>
        <v>2.6315789473684212</v>
      </c>
      <c r="AI39">
        <v>399</v>
      </c>
      <c r="AJ39" s="3">
        <f t="shared" si="14"/>
        <v>55.263157894736842</v>
      </c>
      <c r="AK39">
        <v>35</v>
      </c>
      <c r="AL39" s="3">
        <f t="shared" si="3"/>
        <v>4.8476454293628812</v>
      </c>
      <c r="AM39">
        <v>100</v>
      </c>
      <c r="AN39" s="3">
        <f t="shared" si="15"/>
        <v>13.850415512465373</v>
      </c>
      <c r="AO39" t="s">
        <v>368</v>
      </c>
      <c r="AP39" s="72" t="str">
        <f>Дума_партии[[#This Row],[КОИБ]]</f>
        <v>N</v>
      </c>
      <c r="AQ39" s="1" t="str">
        <f>IF(Дума_партии[[#This Row],[Наблюдателей]]=0,"",Дума_партии[[#This Row],[Наблюдателей]])</f>
        <v/>
      </c>
      <c r="AR39"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248.74923547400607</v>
      </c>
      <c r="AS39" s="10">
        <f>2*(Мособлдума_одномандатный_6[[#This Row],[Лазутина Лариса Евгеньевна]]-(AC$203/100)*Мособлдума_одномандатный_6[[#This Row],[Число действительных бюллетеней]])</f>
        <v>325.36399999999998</v>
      </c>
      <c r="AT39" s="10">
        <f>(Мособлдума_одномандатный_6[[#This Row],[Вброс]]+Мособлдума_одномандатный_6[[#This Row],[Перекладывание]])/2</f>
        <v>287.05661773700302</v>
      </c>
    </row>
    <row r="40" spans="2:46" x14ac:dyDescent="0.4">
      <c r="B40" t="s">
        <v>74</v>
      </c>
      <c r="C40" t="s">
        <v>366</v>
      </c>
      <c r="D40" t="s">
        <v>138</v>
      </c>
      <c r="E40" t="s">
        <v>168</v>
      </c>
      <c r="F40" s="1">
        <f t="shared" ca="1" si="4"/>
        <v>3766</v>
      </c>
      <c r="G40" s="8" t="str">
        <f>Дума_партии[[#This Row],[Местоположение]]</f>
        <v>Звенигород</v>
      </c>
      <c r="H40" s="2" t="str">
        <f>LEFT(Мособлдума_одномандатный_6[[#This Row],[tik]],4)&amp;"."&amp;IF(ISNUMBER(VALUE(RIGHT(Мособлдума_одномандатный_6[[#This Row],[tik]]))),RIGHT(Мособлдума_одномандатный_6[[#This Row],[tik]]),"")</f>
        <v>Один.</v>
      </c>
      <c r="I40">
        <v>857</v>
      </c>
      <c r="J40" s="8">
        <f>Мособлдума_одномандатный_6[[#This Row],[Число избирателей, внесенных в список на момент окончания голосования]]</f>
        <v>857</v>
      </c>
      <c r="K40">
        <v>800</v>
      </c>
      <c r="M40">
        <v>293</v>
      </c>
      <c r="N40">
        <v>39</v>
      </c>
      <c r="O40" s="3">
        <f t="shared" si="5"/>
        <v>38.739789964994166</v>
      </c>
      <c r="P40" s="3">
        <f t="shared" si="6"/>
        <v>4.5507584597432906</v>
      </c>
      <c r="Q40">
        <v>468</v>
      </c>
      <c r="R40">
        <v>39</v>
      </c>
      <c r="S40">
        <v>293</v>
      </c>
      <c r="T40" s="1">
        <f t="shared" si="7"/>
        <v>332</v>
      </c>
      <c r="U40" s="3">
        <f t="shared" si="8"/>
        <v>11.746987951807229</v>
      </c>
      <c r="V40">
        <v>32</v>
      </c>
      <c r="W40" s="3">
        <f t="shared" si="9"/>
        <v>9.6385542168674707</v>
      </c>
      <c r="X40">
        <v>300</v>
      </c>
      <c r="Y40">
        <v>0</v>
      </c>
      <c r="Z40">
        <v>0</v>
      </c>
      <c r="AA40">
        <v>53</v>
      </c>
      <c r="AB40" s="3">
        <f t="shared" si="10"/>
        <v>15.963855421686747</v>
      </c>
      <c r="AC40">
        <v>8</v>
      </c>
      <c r="AD40" s="3">
        <f t="shared" si="11"/>
        <v>2.4096385542168677</v>
      </c>
      <c r="AE40">
        <v>11</v>
      </c>
      <c r="AF40" s="3">
        <f t="shared" si="12"/>
        <v>3.3132530120481927</v>
      </c>
      <c r="AG40">
        <v>6</v>
      </c>
      <c r="AH40" s="3">
        <f t="shared" si="13"/>
        <v>1.8072289156626506</v>
      </c>
      <c r="AI40">
        <v>129</v>
      </c>
      <c r="AJ40" s="3">
        <f t="shared" si="14"/>
        <v>38.855421686746986</v>
      </c>
      <c r="AK40">
        <v>25</v>
      </c>
      <c r="AL40" s="3">
        <f t="shared" si="3"/>
        <v>7.5301204819277112</v>
      </c>
      <c r="AM40">
        <v>68</v>
      </c>
      <c r="AN40" s="3">
        <f t="shared" si="15"/>
        <v>20.481927710843372</v>
      </c>
      <c r="AO40" t="s">
        <v>368</v>
      </c>
      <c r="AP40" s="72">
        <f>Дума_партии[[#This Row],[КОИБ]]</f>
        <v>2017</v>
      </c>
      <c r="AQ40" s="1" t="str">
        <f>IF(Дума_партии[[#This Row],[Наблюдателей]]=0,"",Дума_партии[[#This Row],[Наблюдателей]])</f>
        <v/>
      </c>
      <c r="AR40"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38.532110091743093</v>
      </c>
      <c r="AS40" s="10">
        <f>2*(Мособлдума_одномандатный_6[[#This Row],[Лазутина Лариса Евгеньевна]]-(AC$203/100)*Мособлдума_одномандатный_6[[#This Row],[Число действительных бюллетеней]])</f>
        <v>50.399999999999977</v>
      </c>
      <c r="AT40" s="10">
        <f>(Мособлдума_одномандатный_6[[#This Row],[Вброс]]+Мособлдума_одномандатный_6[[#This Row],[Перекладывание]])/2</f>
        <v>44.466055045871535</v>
      </c>
    </row>
    <row r="41" spans="2:46" x14ac:dyDescent="0.4">
      <c r="B41" t="s">
        <v>74</v>
      </c>
      <c r="C41" t="s">
        <v>366</v>
      </c>
      <c r="D41" t="s">
        <v>138</v>
      </c>
      <c r="E41" t="s">
        <v>169</v>
      </c>
      <c r="F41" s="1">
        <f t="shared" ca="1" si="4"/>
        <v>3768</v>
      </c>
      <c r="G41" s="8" t="str">
        <f>Дума_партии[[#This Row],[Местоположение]]</f>
        <v>Звенигород</v>
      </c>
      <c r="H41" s="2" t="str">
        <f>LEFT(Мособлдума_одномандатный_6[[#This Row],[tik]],4)&amp;"."&amp;IF(ISNUMBER(VALUE(RIGHT(Мособлдума_одномандатный_6[[#This Row],[tik]]))),RIGHT(Мособлдума_одномандатный_6[[#This Row],[tik]]),"")</f>
        <v>Один.</v>
      </c>
      <c r="I41">
        <v>1412</v>
      </c>
      <c r="J41" s="8">
        <f>Мособлдума_одномандатный_6[[#This Row],[Число избирателей, внесенных в список на момент окончания голосования]]</f>
        <v>1412</v>
      </c>
      <c r="K41">
        <v>1200</v>
      </c>
      <c r="M41">
        <v>411</v>
      </c>
      <c r="N41">
        <v>147</v>
      </c>
      <c r="O41" s="3">
        <f t="shared" si="5"/>
        <v>39.518413597733712</v>
      </c>
      <c r="P41" s="3">
        <f t="shared" si="6"/>
        <v>10.410764872521247</v>
      </c>
      <c r="Q41">
        <v>642</v>
      </c>
      <c r="R41">
        <v>147</v>
      </c>
      <c r="S41">
        <v>411</v>
      </c>
      <c r="T41" s="1">
        <f t="shared" si="7"/>
        <v>558</v>
      </c>
      <c r="U41" s="3">
        <f t="shared" si="8"/>
        <v>26.344086021505376</v>
      </c>
      <c r="V41">
        <v>31</v>
      </c>
      <c r="W41" s="3">
        <f t="shared" si="9"/>
        <v>5.5555555555555554</v>
      </c>
      <c r="X41">
        <v>527</v>
      </c>
      <c r="Y41">
        <v>0</v>
      </c>
      <c r="Z41">
        <v>0</v>
      </c>
      <c r="AA41">
        <v>77</v>
      </c>
      <c r="AB41" s="3">
        <f t="shared" si="10"/>
        <v>13.799283154121865</v>
      </c>
      <c r="AC41">
        <v>26</v>
      </c>
      <c r="AD41" s="3">
        <f t="shared" si="11"/>
        <v>4.6594982078853047</v>
      </c>
      <c r="AE41">
        <v>8</v>
      </c>
      <c r="AF41" s="3">
        <f t="shared" si="12"/>
        <v>1.4336917562724014</v>
      </c>
      <c r="AG41">
        <v>7</v>
      </c>
      <c r="AH41" s="3">
        <f t="shared" si="13"/>
        <v>1.2544802867383513</v>
      </c>
      <c r="AI41">
        <v>259</v>
      </c>
      <c r="AJ41" s="3">
        <f t="shared" si="14"/>
        <v>46.415770609318997</v>
      </c>
      <c r="AK41">
        <v>44</v>
      </c>
      <c r="AL41" s="3">
        <f t="shared" si="3"/>
        <v>7.8853046594982077</v>
      </c>
      <c r="AM41">
        <v>106</v>
      </c>
      <c r="AN41" s="3">
        <f t="shared" si="15"/>
        <v>18.996415770609318</v>
      </c>
      <c r="AO41" t="s">
        <v>368</v>
      </c>
      <c r="AP41" s="72">
        <f>Дума_партии[[#This Row],[КОИБ]]</f>
        <v>2017</v>
      </c>
      <c r="AQ41" s="1" t="str">
        <f>IF(Дума_партии[[#This Row],[Наблюдателей]]=0,"",Дума_партии[[#This Row],[Наблюдателей]])</f>
        <v/>
      </c>
      <c r="AR41"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117.21406727828742</v>
      </c>
      <c r="AS41" s="10">
        <f>2*(Мособлдума_одномандатный_6[[#This Row],[Лазутина Лариса Евгеньевна]]-(AC$203/100)*Мособлдума_одномандатный_6[[#This Row],[Число действительных бюллетеней]])</f>
        <v>153.31599999999997</v>
      </c>
      <c r="AT41" s="10">
        <f>(Мособлдума_одномандатный_6[[#This Row],[Вброс]]+Мособлдума_одномандатный_6[[#This Row],[Перекладывание]])/2</f>
        <v>135.2650336391437</v>
      </c>
    </row>
    <row r="42" spans="2:46" x14ac:dyDescent="0.4">
      <c r="B42" t="s">
        <v>74</v>
      </c>
      <c r="C42" t="s">
        <v>366</v>
      </c>
      <c r="D42" t="s">
        <v>138</v>
      </c>
      <c r="E42" t="s">
        <v>170</v>
      </c>
      <c r="F42" s="1">
        <f t="shared" ca="1" si="4"/>
        <v>3769</v>
      </c>
      <c r="G42" s="8" t="str">
        <f>Дума_партии[[#This Row],[Местоположение]]</f>
        <v>Звенигород</v>
      </c>
      <c r="H42" s="2" t="str">
        <f>LEFT(Мособлдума_одномандатный_6[[#This Row],[tik]],4)&amp;"."&amp;IF(ISNUMBER(VALUE(RIGHT(Мособлдума_одномандатный_6[[#This Row],[tik]]))),RIGHT(Мособлдума_одномандатный_6[[#This Row],[tik]]),"")</f>
        <v>Один.</v>
      </c>
      <c r="I42">
        <v>2047</v>
      </c>
      <c r="J42" s="8">
        <f>Мособлдума_одномандатный_6[[#This Row],[Число избирателей, внесенных в список на момент окончания голосования]]</f>
        <v>2047</v>
      </c>
      <c r="K42">
        <v>1500</v>
      </c>
      <c r="M42">
        <v>513</v>
      </c>
      <c r="N42">
        <v>200</v>
      </c>
      <c r="O42" s="3">
        <f t="shared" si="5"/>
        <v>34.831460674157306</v>
      </c>
      <c r="P42" s="3">
        <f t="shared" si="6"/>
        <v>9.7703957010258922</v>
      </c>
      <c r="Q42">
        <v>787</v>
      </c>
      <c r="R42">
        <v>200</v>
      </c>
      <c r="S42">
        <v>507</v>
      </c>
      <c r="T42" s="1">
        <f t="shared" si="7"/>
        <v>707</v>
      </c>
      <c r="U42" s="3">
        <f t="shared" si="8"/>
        <v>28.288543140028288</v>
      </c>
      <c r="V42">
        <v>82</v>
      </c>
      <c r="W42" s="3">
        <f t="shared" si="9"/>
        <v>11.598302687411598</v>
      </c>
      <c r="X42">
        <v>625</v>
      </c>
      <c r="Y42">
        <v>0</v>
      </c>
      <c r="Z42">
        <v>0</v>
      </c>
      <c r="AA42">
        <v>134</v>
      </c>
      <c r="AB42" s="3">
        <f t="shared" si="10"/>
        <v>18.953323903818955</v>
      </c>
      <c r="AC42">
        <v>28</v>
      </c>
      <c r="AD42" s="3">
        <f t="shared" si="11"/>
        <v>3.9603960396039604</v>
      </c>
      <c r="AE42">
        <v>24</v>
      </c>
      <c r="AF42" s="3">
        <f t="shared" si="12"/>
        <v>3.3946251768033946</v>
      </c>
      <c r="AG42">
        <v>20</v>
      </c>
      <c r="AH42" s="3">
        <f t="shared" si="13"/>
        <v>2.8288543140028288</v>
      </c>
      <c r="AI42">
        <v>248</v>
      </c>
      <c r="AJ42" s="3">
        <f t="shared" si="14"/>
        <v>35.077793493635077</v>
      </c>
      <c r="AK42">
        <v>57</v>
      </c>
      <c r="AL42" s="3">
        <f t="shared" si="3"/>
        <v>8.0622347949080631</v>
      </c>
      <c r="AM42">
        <v>114</v>
      </c>
      <c r="AN42" s="3">
        <f t="shared" si="15"/>
        <v>16.124469589816126</v>
      </c>
      <c r="AO42" t="s">
        <v>368</v>
      </c>
      <c r="AP42" s="72">
        <f>Дума_партии[[#This Row],[КОИБ]]</f>
        <v>2017</v>
      </c>
      <c r="AQ42" s="1">
        <f>IF(Дума_партии[[#This Row],[Наблюдателей]]=0,"",Дума_партии[[#This Row],[Наблюдателей]])</f>
        <v>1</v>
      </c>
      <c r="AR42"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48.547400611620759</v>
      </c>
      <c r="AS42" s="10">
        <f>2*(Мособлдума_одномандатный_6[[#This Row],[Лазутина Лариса Евгеньевна]]-(AC$203/100)*Мособлдума_одномандатный_6[[#This Row],[Число действительных бюллетеней]])</f>
        <v>63.499999999999943</v>
      </c>
      <c r="AT42" s="10">
        <f>(Мособлдума_одномандатный_6[[#This Row],[Вброс]]+Мособлдума_одномандатный_6[[#This Row],[Перекладывание]])/2</f>
        <v>56.023700305810351</v>
      </c>
    </row>
    <row r="43" spans="2:46" x14ac:dyDescent="0.4">
      <c r="B43" t="s">
        <v>74</v>
      </c>
      <c r="C43" t="s">
        <v>366</v>
      </c>
      <c r="D43" t="s">
        <v>138</v>
      </c>
      <c r="E43" t="s">
        <v>171</v>
      </c>
      <c r="F43" s="1">
        <f t="shared" ca="1" si="4"/>
        <v>3771</v>
      </c>
      <c r="G43" s="8" t="str">
        <f>Дума_партии[[#This Row],[Местоположение]]</f>
        <v>Звенигород</v>
      </c>
      <c r="H43" s="2" t="str">
        <f>LEFT(Мособлдума_одномандатный_6[[#This Row],[tik]],4)&amp;"."&amp;IF(ISNUMBER(VALUE(RIGHT(Мособлдума_одномандатный_6[[#This Row],[tik]]))),RIGHT(Мособлдума_одномандатный_6[[#This Row],[tik]]),"")</f>
        <v>Один.</v>
      </c>
      <c r="I43">
        <v>536</v>
      </c>
      <c r="J43" s="8">
        <f>Мособлдума_одномандатный_6[[#This Row],[Число избирателей, внесенных в список на момент окончания голосования]]</f>
        <v>536</v>
      </c>
      <c r="K43">
        <v>500</v>
      </c>
      <c r="M43">
        <v>155</v>
      </c>
      <c r="N43">
        <v>7</v>
      </c>
      <c r="O43" s="3">
        <f t="shared" si="5"/>
        <v>30.223880597014926</v>
      </c>
      <c r="P43" s="3">
        <f t="shared" si="6"/>
        <v>1.3059701492537314</v>
      </c>
      <c r="Q43">
        <v>338</v>
      </c>
      <c r="R43">
        <v>7</v>
      </c>
      <c r="S43">
        <v>155</v>
      </c>
      <c r="T43" s="1">
        <f t="shared" si="7"/>
        <v>162</v>
      </c>
      <c r="U43" s="3">
        <f t="shared" si="8"/>
        <v>4.3209876543209873</v>
      </c>
      <c r="V43">
        <v>27</v>
      </c>
      <c r="W43" s="3">
        <f t="shared" si="9"/>
        <v>16.666666666666668</v>
      </c>
      <c r="X43">
        <v>135</v>
      </c>
      <c r="Y43">
        <v>0</v>
      </c>
      <c r="Z43">
        <v>0</v>
      </c>
      <c r="AA43">
        <v>17</v>
      </c>
      <c r="AB43" s="3">
        <f t="shared" si="10"/>
        <v>10.493827160493828</v>
      </c>
      <c r="AC43">
        <v>11</v>
      </c>
      <c r="AD43" s="3">
        <f t="shared" si="11"/>
        <v>6.7901234567901234</v>
      </c>
      <c r="AE43">
        <v>7</v>
      </c>
      <c r="AF43" s="3">
        <f t="shared" si="12"/>
        <v>4.3209876543209873</v>
      </c>
      <c r="AG43">
        <v>5</v>
      </c>
      <c r="AH43" s="3">
        <f t="shared" si="13"/>
        <v>3.0864197530864197</v>
      </c>
      <c r="AI43">
        <v>42</v>
      </c>
      <c r="AJ43" s="3">
        <f t="shared" si="14"/>
        <v>25.925925925925927</v>
      </c>
      <c r="AK43">
        <v>19</v>
      </c>
      <c r="AL43" s="3">
        <f t="shared" ref="AL43:AL86" si="16">100*AK43/$T43</f>
        <v>11.728395061728396</v>
      </c>
      <c r="AM43">
        <v>34</v>
      </c>
      <c r="AN43" s="3">
        <f t="shared" si="15"/>
        <v>20.987654320987655</v>
      </c>
      <c r="AO43" t="s">
        <v>368</v>
      </c>
      <c r="AP43" s="72" t="str">
        <f>Дума_партии[[#This Row],[КОИБ]]</f>
        <v>N</v>
      </c>
      <c r="AQ43" s="1" t="str">
        <f>IF(Дума_партии[[#This Row],[Наблюдателей]]=0,"",Дума_партии[[#This Row],[Наблюдателей]])</f>
        <v/>
      </c>
      <c r="AR43"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-7.2018348623853328</v>
      </c>
      <c r="AS43" s="10">
        <f>2*(Мособлдума_одномандатный_6[[#This Row],[Лазутина Лариса Евгеньевна]]-(AC$203/100)*Мособлдума_одномандатный_6[[#This Row],[Число действительных бюллетеней]])</f>
        <v>-9.4200000000000017</v>
      </c>
      <c r="AT43" s="10">
        <f>(Мособлдума_одномандатный_6[[#This Row],[Вброс]]+Мособлдума_одномандатный_6[[#This Row],[Перекладывание]])/2</f>
        <v>-8.3109174311926672</v>
      </c>
    </row>
    <row r="44" spans="2:46" s="17" customFormat="1" hidden="1" x14ac:dyDescent="0.4">
      <c r="G44" s="24"/>
      <c r="H44" s="42"/>
      <c r="J44" s="24"/>
      <c r="O44" s="25"/>
      <c r="P44" s="25"/>
      <c r="U44" s="25"/>
      <c r="W44" s="25"/>
      <c r="AB44" s="25"/>
      <c r="AD44" s="25"/>
      <c r="AF44" s="25"/>
      <c r="AH44" s="25"/>
      <c r="AJ44" s="25"/>
      <c r="AK44" s="25"/>
      <c r="AL44" s="25"/>
      <c r="AN44" s="25"/>
      <c r="AR44" s="26"/>
      <c r="AS44" s="26"/>
      <c r="AT44" s="26"/>
    </row>
    <row r="45" spans="2:46" s="17" customFormat="1" hidden="1" x14ac:dyDescent="0.4">
      <c r="G45" s="24"/>
      <c r="H45" s="42"/>
      <c r="J45" s="24"/>
      <c r="O45" s="25"/>
      <c r="P45" s="25"/>
      <c r="U45" s="25"/>
      <c r="W45" s="25"/>
      <c r="AB45" s="25"/>
      <c r="AD45" s="25"/>
      <c r="AF45" s="25"/>
      <c r="AH45" s="25"/>
      <c r="AJ45" s="25"/>
      <c r="AK45" s="25"/>
      <c r="AL45" s="25"/>
      <c r="AN45" s="25"/>
      <c r="AR45" s="26"/>
      <c r="AS45" s="26"/>
      <c r="AT45" s="26"/>
    </row>
    <row r="46" spans="2:46" s="17" customFormat="1" hidden="1" x14ac:dyDescent="0.4">
      <c r="G46" s="24"/>
      <c r="H46" s="42"/>
      <c r="J46" s="24"/>
      <c r="O46" s="25"/>
      <c r="P46" s="25"/>
      <c r="U46" s="25"/>
      <c r="W46" s="25"/>
      <c r="AB46" s="25"/>
      <c r="AD46" s="25"/>
      <c r="AF46" s="25"/>
      <c r="AH46" s="25"/>
      <c r="AJ46" s="25"/>
      <c r="AK46" s="25"/>
      <c r="AL46" s="25"/>
      <c r="AN46" s="25"/>
      <c r="AR46" s="26"/>
      <c r="AS46" s="26"/>
      <c r="AT46" s="26"/>
    </row>
    <row r="47" spans="2:46" s="17" customFormat="1" hidden="1" x14ac:dyDescent="0.4">
      <c r="G47" s="24"/>
      <c r="H47" s="42"/>
      <c r="J47" s="24"/>
      <c r="O47" s="25"/>
      <c r="P47" s="25"/>
      <c r="U47" s="25"/>
      <c r="W47" s="25"/>
      <c r="AB47" s="25"/>
      <c r="AD47" s="25"/>
      <c r="AF47" s="25"/>
      <c r="AH47" s="25"/>
      <c r="AJ47" s="25"/>
      <c r="AK47" s="25"/>
      <c r="AL47" s="25"/>
      <c r="AN47" s="25"/>
      <c r="AR47" s="26"/>
      <c r="AS47" s="26"/>
      <c r="AT47" s="26"/>
    </row>
    <row r="48" spans="2:46" s="17" customFormat="1" hidden="1" x14ac:dyDescent="0.4">
      <c r="G48" s="24"/>
      <c r="H48" s="42"/>
      <c r="J48" s="24"/>
      <c r="O48" s="25"/>
      <c r="P48" s="25"/>
      <c r="U48" s="25"/>
      <c r="W48" s="25"/>
      <c r="AB48" s="25"/>
      <c r="AD48" s="25"/>
      <c r="AF48" s="25"/>
      <c r="AH48" s="25"/>
      <c r="AJ48" s="25"/>
      <c r="AK48" s="25"/>
      <c r="AL48" s="25"/>
      <c r="AN48" s="25"/>
      <c r="AR48" s="26"/>
      <c r="AS48" s="26"/>
      <c r="AT48" s="26"/>
    </row>
    <row r="49" spans="2:46" s="17" customFormat="1" hidden="1" x14ac:dyDescent="0.4">
      <c r="G49" s="24"/>
      <c r="H49" s="42"/>
      <c r="J49" s="24"/>
      <c r="O49" s="25"/>
      <c r="P49" s="25"/>
      <c r="U49" s="25"/>
      <c r="W49" s="25"/>
      <c r="AB49" s="25"/>
      <c r="AD49" s="25"/>
      <c r="AF49" s="25"/>
      <c r="AH49" s="25"/>
      <c r="AJ49" s="25"/>
      <c r="AK49" s="25"/>
      <c r="AL49" s="25"/>
      <c r="AN49" s="25"/>
      <c r="AR49" s="26"/>
      <c r="AS49" s="26"/>
      <c r="AT49" s="26"/>
    </row>
    <row r="50" spans="2:46" s="17" customFormat="1" hidden="1" x14ac:dyDescent="0.4">
      <c r="G50" s="24"/>
      <c r="H50" s="42"/>
      <c r="J50" s="24"/>
      <c r="O50" s="25"/>
      <c r="P50" s="25"/>
      <c r="U50" s="25"/>
      <c r="W50" s="25"/>
      <c r="AB50" s="25"/>
      <c r="AD50" s="25"/>
      <c r="AF50" s="25"/>
      <c r="AH50" s="25"/>
      <c r="AJ50" s="25"/>
      <c r="AK50" s="25"/>
      <c r="AL50" s="25"/>
      <c r="AN50" s="25"/>
      <c r="AR50" s="26"/>
      <c r="AS50" s="26"/>
      <c r="AT50" s="26"/>
    </row>
    <row r="51" spans="2:46" s="17" customFormat="1" hidden="1" x14ac:dyDescent="0.4">
      <c r="G51" s="24"/>
      <c r="H51" s="42"/>
      <c r="J51" s="24"/>
      <c r="O51" s="25"/>
      <c r="P51" s="25"/>
      <c r="U51" s="25"/>
      <c r="W51" s="25"/>
      <c r="AB51" s="25"/>
      <c r="AD51" s="25"/>
      <c r="AF51" s="25"/>
      <c r="AH51" s="25"/>
      <c r="AJ51" s="25"/>
      <c r="AK51" s="25"/>
      <c r="AL51" s="25"/>
      <c r="AN51" s="25"/>
      <c r="AR51" s="26"/>
      <c r="AS51" s="26"/>
      <c r="AT51" s="26"/>
    </row>
    <row r="52" spans="2:46" s="17" customFormat="1" hidden="1" x14ac:dyDescent="0.4">
      <c r="G52" s="24"/>
      <c r="H52" s="42"/>
      <c r="J52" s="24"/>
      <c r="O52" s="25"/>
      <c r="P52" s="25"/>
      <c r="U52" s="25"/>
      <c r="W52" s="25"/>
      <c r="AB52" s="25"/>
      <c r="AD52" s="25"/>
      <c r="AF52" s="25"/>
      <c r="AH52" s="25"/>
      <c r="AJ52" s="25"/>
      <c r="AK52" s="25"/>
      <c r="AL52" s="25"/>
      <c r="AN52" s="25"/>
      <c r="AR52" s="26"/>
      <c r="AS52" s="26"/>
      <c r="AT52" s="26"/>
    </row>
    <row r="53" spans="2:46" s="17" customFormat="1" hidden="1" x14ac:dyDescent="0.4">
      <c r="G53" s="24"/>
      <c r="H53" s="42"/>
      <c r="J53" s="24"/>
      <c r="O53" s="25"/>
      <c r="P53" s="25"/>
      <c r="U53" s="25"/>
      <c r="W53" s="25"/>
      <c r="AB53" s="25"/>
      <c r="AD53" s="25"/>
      <c r="AF53" s="25"/>
      <c r="AH53" s="25"/>
      <c r="AJ53" s="25"/>
      <c r="AK53" s="25"/>
      <c r="AL53" s="25"/>
      <c r="AN53" s="25"/>
      <c r="AR53" s="26"/>
      <c r="AS53" s="26"/>
      <c r="AT53" s="26"/>
    </row>
    <row r="54" spans="2:46" s="17" customFormat="1" hidden="1" x14ac:dyDescent="0.4">
      <c r="G54" s="24"/>
      <c r="H54" s="42"/>
      <c r="J54" s="24"/>
      <c r="O54" s="25"/>
      <c r="P54" s="25"/>
      <c r="U54" s="25"/>
      <c r="W54" s="25"/>
      <c r="AB54" s="25"/>
      <c r="AD54" s="25"/>
      <c r="AF54" s="25"/>
      <c r="AH54" s="25"/>
      <c r="AJ54" s="25"/>
      <c r="AK54" s="25"/>
      <c r="AL54" s="25"/>
      <c r="AN54" s="25"/>
      <c r="AR54" s="26"/>
      <c r="AS54" s="26"/>
      <c r="AT54" s="26"/>
    </row>
    <row r="55" spans="2:46" s="17" customFormat="1" hidden="1" x14ac:dyDescent="0.4">
      <c r="G55" s="24"/>
      <c r="H55" s="42"/>
      <c r="J55" s="24"/>
      <c r="O55" s="25"/>
      <c r="P55" s="25"/>
      <c r="U55" s="25"/>
      <c r="W55" s="25"/>
      <c r="AB55" s="25"/>
      <c r="AD55" s="25"/>
      <c r="AF55" s="25"/>
      <c r="AH55" s="25"/>
      <c r="AJ55" s="25"/>
      <c r="AK55" s="25"/>
      <c r="AL55" s="25"/>
      <c r="AN55" s="25"/>
      <c r="AR55" s="26"/>
      <c r="AS55" s="26"/>
      <c r="AT55" s="26"/>
    </row>
    <row r="56" spans="2:46" x14ac:dyDescent="0.4">
      <c r="B56" t="s">
        <v>74</v>
      </c>
      <c r="C56" t="s">
        <v>366</v>
      </c>
      <c r="D56" t="s">
        <v>138</v>
      </c>
      <c r="E56" t="s">
        <v>184</v>
      </c>
      <c r="F56" s="1">
        <f t="shared" ref="F56:F87" ca="1" si="17">SUMPRODUCT(MID(0&amp;E56, LARGE(INDEX(ISNUMBER(--MID(E56, ROW(INDIRECT("1:"&amp;LEN(E56))), 1)) * ROW(INDIRECT("1:"&amp;LEN(E56))), 0), ROW(INDIRECT("1:"&amp;LEN(E56))))+1, 1) * 10^ROW(INDIRECT("1:"&amp;LEN(E56)))/10)</f>
        <v>3926</v>
      </c>
      <c r="G56" s="8" t="str">
        <f>Дума_партии[[#This Row],[Местоположение]]</f>
        <v>Лесной Городок</v>
      </c>
      <c r="H56" s="2" t="str">
        <f>LEFT(Мособлдума_одномандатный_6[[#This Row],[tik]],4)&amp;"."&amp;IF(ISNUMBER(VALUE(RIGHT(Мособлдума_одномандатный_6[[#This Row],[tik]]))),RIGHT(Мособлдума_одномандатный_6[[#This Row],[tik]]),"")</f>
        <v>Один.</v>
      </c>
      <c r="I56">
        <v>1745</v>
      </c>
      <c r="J56" s="8">
        <f>Мособлдума_одномандатный_6[[#This Row],[Число избирателей, внесенных в список на момент окончания голосования]]</f>
        <v>1745</v>
      </c>
      <c r="K56">
        <v>1500</v>
      </c>
      <c r="M56">
        <v>545</v>
      </c>
      <c r="N56">
        <v>42</v>
      </c>
      <c r="O56" s="3">
        <f t="shared" ref="O56:O87" si="18">100*(M56+N56)/I56</f>
        <v>33.638968481375358</v>
      </c>
      <c r="P56" s="3">
        <f t="shared" ref="P56:P87" si="19">100*N56/I56</f>
        <v>2.4068767908309456</v>
      </c>
      <c r="Q56">
        <v>913</v>
      </c>
      <c r="R56">
        <v>42</v>
      </c>
      <c r="S56">
        <v>544</v>
      </c>
      <c r="T56" s="1">
        <f t="shared" ref="T56:T87" si="20">R56+S56</f>
        <v>586</v>
      </c>
      <c r="U56" s="3">
        <f t="shared" ref="U56:U87" si="21">100*R56/T56</f>
        <v>7.1672354948805461</v>
      </c>
      <c r="V56">
        <v>37</v>
      </c>
      <c r="W56" s="3">
        <f t="shared" ref="W56:W87" si="22">100*V56/T56</f>
        <v>6.3139931740614337</v>
      </c>
      <c r="X56">
        <v>549</v>
      </c>
      <c r="Y56">
        <v>0</v>
      </c>
      <c r="Z56">
        <v>0</v>
      </c>
      <c r="AA56">
        <v>139</v>
      </c>
      <c r="AB56" s="3">
        <f t="shared" ref="AB56:AB87" si="23">100*AA56/$T56</f>
        <v>23.72013651877133</v>
      </c>
      <c r="AC56">
        <v>21</v>
      </c>
      <c r="AD56" s="3">
        <f t="shared" ref="AD56:AD87" si="24">100*AC56/$T56</f>
        <v>3.5836177474402731</v>
      </c>
      <c r="AE56">
        <v>15</v>
      </c>
      <c r="AF56" s="3">
        <f t="shared" ref="AF56:AF87" si="25">100*AE56/$T56</f>
        <v>2.5597269624573378</v>
      </c>
      <c r="AG56">
        <v>24</v>
      </c>
      <c r="AH56" s="3">
        <f t="shared" ref="AH56:AH87" si="26">100*AG56/$T56</f>
        <v>4.0955631399317403</v>
      </c>
      <c r="AI56">
        <v>212</v>
      </c>
      <c r="AJ56" s="3">
        <f t="shared" ref="AJ56:AJ87" si="27">100*AI56/$T56</f>
        <v>36.177474402730375</v>
      </c>
      <c r="AK56">
        <v>29</v>
      </c>
      <c r="AL56" s="3">
        <f t="shared" si="16"/>
        <v>4.9488054607508536</v>
      </c>
      <c r="AM56">
        <v>109</v>
      </c>
      <c r="AN56" s="3">
        <f t="shared" ref="AN56:AN87" si="28">100*AM56/$T56</f>
        <v>18.600682593856654</v>
      </c>
      <c r="AO56" t="s">
        <v>368</v>
      </c>
      <c r="AP56" s="72">
        <f>Дума_партии[[#This Row],[КОИБ]]</f>
        <v>2017</v>
      </c>
      <c r="AQ56" s="1" t="str">
        <f>IF(Дума_партии[[#This Row],[Наблюдателей]]=0,"",Дума_партии[[#This Row],[Наблюдателей]])</f>
        <v/>
      </c>
      <c r="AR56"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33.709480122324123</v>
      </c>
      <c r="AS56" s="10">
        <f>2*(Мособлдума_одномандатный_6[[#This Row],[Лазутина Лариса Евгеньевна]]-(AC$203/100)*Мособлдума_одномандатный_6[[#This Row],[Число действительных бюллетеней]])</f>
        <v>44.091999999999985</v>
      </c>
      <c r="AT56" s="10">
        <f>(Мособлдума_одномандатный_6[[#This Row],[Вброс]]+Мособлдума_одномандатный_6[[#This Row],[Перекладывание]])/2</f>
        <v>38.900740061162054</v>
      </c>
    </row>
    <row r="57" spans="2:46" x14ac:dyDescent="0.4">
      <c r="B57" t="s">
        <v>74</v>
      </c>
      <c r="C57" t="s">
        <v>366</v>
      </c>
      <c r="D57" t="s">
        <v>138</v>
      </c>
      <c r="E57" t="s">
        <v>185</v>
      </c>
      <c r="F57" s="1">
        <f t="shared" ca="1" si="17"/>
        <v>3929</v>
      </c>
      <c r="G57" s="8" t="str">
        <f>Дума_партии[[#This Row],[Местоположение]]</f>
        <v>Лесной Городок</v>
      </c>
      <c r="H57" s="2" t="str">
        <f>LEFT(Мособлдума_одномандатный_6[[#This Row],[tik]],4)&amp;"."&amp;IF(ISNUMBER(VALUE(RIGHT(Мособлдума_одномандатный_6[[#This Row],[tik]]))),RIGHT(Мособлдума_одномандатный_6[[#This Row],[tik]]),"")</f>
        <v>Один.</v>
      </c>
      <c r="I57">
        <v>1453</v>
      </c>
      <c r="J57" s="8">
        <f>Мособлдума_одномандатный_6[[#This Row],[Число избирателей, внесенных в список на момент окончания голосования]]</f>
        <v>1453</v>
      </c>
      <c r="K57">
        <v>1300</v>
      </c>
      <c r="M57">
        <v>483</v>
      </c>
      <c r="N57">
        <v>5</v>
      </c>
      <c r="O57" s="3">
        <f t="shared" si="18"/>
        <v>33.585684790089473</v>
      </c>
      <c r="P57" s="3">
        <f t="shared" si="19"/>
        <v>0.34411562284927738</v>
      </c>
      <c r="Q57">
        <v>812</v>
      </c>
      <c r="R57">
        <v>5</v>
      </c>
      <c r="S57">
        <v>483</v>
      </c>
      <c r="T57" s="1">
        <f t="shared" si="20"/>
        <v>488</v>
      </c>
      <c r="U57" s="3">
        <f t="shared" si="21"/>
        <v>1.0245901639344261</v>
      </c>
      <c r="V57">
        <v>21</v>
      </c>
      <c r="W57" s="3">
        <f t="shared" si="22"/>
        <v>4.3032786885245899</v>
      </c>
      <c r="X57">
        <v>467</v>
      </c>
      <c r="Y57">
        <v>0</v>
      </c>
      <c r="Z57">
        <v>0</v>
      </c>
      <c r="AA57">
        <v>126</v>
      </c>
      <c r="AB57" s="3">
        <f t="shared" si="23"/>
        <v>25.819672131147541</v>
      </c>
      <c r="AC57">
        <v>21</v>
      </c>
      <c r="AD57" s="3">
        <f t="shared" si="24"/>
        <v>4.3032786885245899</v>
      </c>
      <c r="AE57">
        <v>16</v>
      </c>
      <c r="AF57" s="3">
        <f t="shared" si="25"/>
        <v>3.278688524590164</v>
      </c>
      <c r="AG57">
        <v>27</v>
      </c>
      <c r="AH57" s="3">
        <f t="shared" si="26"/>
        <v>5.5327868852459012</v>
      </c>
      <c r="AI57">
        <v>156</v>
      </c>
      <c r="AJ57" s="3">
        <f t="shared" si="27"/>
        <v>31.967213114754099</v>
      </c>
      <c r="AK57">
        <v>28</v>
      </c>
      <c r="AL57" s="3">
        <f t="shared" si="16"/>
        <v>5.7377049180327866</v>
      </c>
      <c r="AM57">
        <v>93</v>
      </c>
      <c r="AN57" s="3">
        <f t="shared" si="28"/>
        <v>19.057377049180328</v>
      </c>
      <c r="AO57" t="s">
        <v>368</v>
      </c>
      <c r="AP57" s="72">
        <f>Дума_партии[[#This Row],[КОИБ]]</f>
        <v>2017</v>
      </c>
      <c r="AQ57" s="1" t="str">
        <f>IF(Дума_партии[[#This Row],[Наблюдателей]]=0,"",Дума_партии[[#This Row],[Наблюдателей]])</f>
        <v/>
      </c>
      <c r="AR57"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-8.5351681957186827</v>
      </c>
      <c r="AS57" s="10">
        <f>2*(Мособлдума_одномандатный_6[[#This Row],[Лазутина Лариса Евгеньевна]]-(AC$203/100)*Мособлдума_одномандатный_6[[#This Row],[Число действительных бюллетеней]])</f>
        <v>-11.164000000000044</v>
      </c>
      <c r="AT57" s="10">
        <f>(Мособлдума_одномандатный_6[[#This Row],[Вброс]]+Мособлдума_одномандатный_6[[#This Row],[Перекладывание]])/2</f>
        <v>-9.8495840978593634</v>
      </c>
    </row>
    <row r="58" spans="2:46" x14ac:dyDescent="0.4">
      <c r="B58" t="s">
        <v>74</v>
      </c>
      <c r="C58" t="s">
        <v>366</v>
      </c>
      <c r="D58" t="s">
        <v>138</v>
      </c>
      <c r="E58" t="s">
        <v>186</v>
      </c>
      <c r="F58" s="1">
        <f t="shared" ca="1" si="17"/>
        <v>3930</v>
      </c>
      <c r="G58" s="8" t="str">
        <f>Дума_партии[[#This Row],[Местоположение]]</f>
        <v>Лесной Городок</v>
      </c>
      <c r="H58" s="2" t="str">
        <f>LEFT(Мособлдума_одномандатный_6[[#This Row],[tik]],4)&amp;"."&amp;IF(ISNUMBER(VALUE(RIGHT(Мособлдума_одномандатный_6[[#This Row],[tik]]))),RIGHT(Мособлдума_одномандатный_6[[#This Row],[tik]]),"")</f>
        <v>Один.</v>
      </c>
      <c r="I58">
        <v>1496</v>
      </c>
      <c r="J58" s="8">
        <f>Мособлдума_одномандатный_6[[#This Row],[Число избирателей, внесенных в список на момент окончания голосования]]</f>
        <v>1496</v>
      </c>
      <c r="K58">
        <v>1300</v>
      </c>
      <c r="M58">
        <v>513</v>
      </c>
      <c r="N58">
        <v>122</v>
      </c>
      <c r="O58" s="3">
        <f t="shared" si="18"/>
        <v>42.446524064171122</v>
      </c>
      <c r="P58" s="3">
        <f t="shared" si="19"/>
        <v>8.1550802139037426</v>
      </c>
      <c r="Q58">
        <v>665</v>
      </c>
      <c r="R58">
        <v>122</v>
      </c>
      <c r="S58">
        <v>513</v>
      </c>
      <c r="T58" s="1">
        <f t="shared" si="20"/>
        <v>635</v>
      </c>
      <c r="U58" s="3">
        <f t="shared" si="21"/>
        <v>19.212598425196852</v>
      </c>
      <c r="V58">
        <v>26</v>
      </c>
      <c r="W58" s="3">
        <f t="shared" si="22"/>
        <v>4.0944881889763778</v>
      </c>
      <c r="X58">
        <v>609</v>
      </c>
      <c r="Y58">
        <v>0</v>
      </c>
      <c r="Z58">
        <v>0</v>
      </c>
      <c r="AA58">
        <v>120</v>
      </c>
      <c r="AB58" s="3">
        <f t="shared" si="23"/>
        <v>18.897637795275589</v>
      </c>
      <c r="AC58">
        <v>20</v>
      </c>
      <c r="AD58" s="3">
        <f t="shared" si="24"/>
        <v>3.1496062992125986</v>
      </c>
      <c r="AE58">
        <v>27</v>
      </c>
      <c r="AF58" s="3">
        <f t="shared" si="25"/>
        <v>4.2519685039370083</v>
      </c>
      <c r="AG58">
        <v>29</v>
      </c>
      <c r="AH58" s="3">
        <f t="shared" si="26"/>
        <v>4.5669291338582676</v>
      </c>
      <c r="AI58">
        <v>280</v>
      </c>
      <c r="AJ58" s="3">
        <f t="shared" si="27"/>
        <v>44.094488188976378</v>
      </c>
      <c r="AK58">
        <v>39</v>
      </c>
      <c r="AL58" s="3">
        <f t="shared" si="16"/>
        <v>6.1417322834645667</v>
      </c>
      <c r="AM58">
        <v>94</v>
      </c>
      <c r="AN58" s="3">
        <f t="shared" si="28"/>
        <v>14.803149606299213</v>
      </c>
      <c r="AO58" t="s">
        <v>368</v>
      </c>
      <c r="AP58" s="72">
        <f>Дума_партии[[#This Row],[КОИБ]]</f>
        <v>2017</v>
      </c>
      <c r="AQ58" s="1">
        <f>IF(Дума_партии[[#This Row],[Наблюдателей]]=0,"",Дума_партии[[#This Row],[Наблюдателей]])</f>
        <v>1</v>
      </c>
      <c r="AR58"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105.9418960244648</v>
      </c>
      <c r="AS58" s="10">
        <f>2*(Мособлдума_одномандатный_6[[#This Row],[Лазутина Лариса Евгеньевна]]-(AC$203/100)*Мособлдума_одномандатный_6[[#This Row],[Число действительных бюллетеней]])</f>
        <v>138.57199999999995</v>
      </c>
      <c r="AT58" s="10">
        <f>(Мособлдума_одномандатный_6[[#This Row],[Вброс]]+Мособлдума_одномандатный_6[[#This Row],[Перекладывание]])/2</f>
        <v>122.25694801223237</v>
      </c>
    </row>
    <row r="59" spans="2:46" x14ac:dyDescent="0.4">
      <c r="B59" t="s">
        <v>74</v>
      </c>
      <c r="C59" t="s">
        <v>366</v>
      </c>
      <c r="D59" t="s">
        <v>138</v>
      </c>
      <c r="E59" t="s">
        <v>187</v>
      </c>
      <c r="F59" s="1">
        <f t="shared" ca="1" si="17"/>
        <v>3931</v>
      </c>
      <c r="G59" s="8" t="str">
        <f>Дума_партии[[#This Row],[Местоположение]]</f>
        <v>Лесной Городок</v>
      </c>
      <c r="H59" s="2" t="str">
        <f>LEFT(Мособлдума_одномандатный_6[[#This Row],[tik]],4)&amp;"."&amp;IF(ISNUMBER(VALUE(RIGHT(Мособлдума_одномандатный_6[[#This Row],[tik]]))),RIGHT(Мособлдума_одномандатный_6[[#This Row],[tik]]),"")</f>
        <v>Один.</v>
      </c>
      <c r="I59">
        <v>2669</v>
      </c>
      <c r="J59" s="8">
        <f>Мособлдума_одномандатный_6[[#This Row],[Число избирателей, внесенных в список на момент окончания голосования]]</f>
        <v>2669</v>
      </c>
      <c r="K59">
        <v>2000</v>
      </c>
      <c r="M59">
        <v>881</v>
      </c>
      <c r="N59">
        <v>46</v>
      </c>
      <c r="O59" s="3">
        <f t="shared" si="18"/>
        <v>34.732109404271263</v>
      </c>
      <c r="P59" s="3">
        <f t="shared" si="19"/>
        <v>1.7234919445485199</v>
      </c>
      <c r="Q59">
        <v>1073</v>
      </c>
      <c r="R59">
        <v>46</v>
      </c>
      <c r="S59">
        <v>881</v>
      </c>
      <c r="T59" s="1">
        <f t="shared" si="20"/>
        <v>927</v>
      </c>
      <c r="U59" s="3">
        <f t="shared" si="21"/>
        <v>4.9622437971952538</v>
      </c>
      <c r="V59">
        <v>58</v>
      </c>
      <c r="W59" s="3">
        <f t="shared" si="22"/>
        <v>6.2567421790722761</v>
      </c>
      <c r="X59">
        <v>869</v>
      </c>
      <c r="Y59">
        <v>0</v>
      </c>
      <c r="Z59">
        <v>0</v>
      </c>
      <c r="AA59">
        <v>251</v>
      </c>
      <c r="AB59" s="3">
        <f t="shared" si="23"/>
        <v>27.076591154261056</v>
      </c>
      <c r="AC59">
        <v>33</v>
      </c>
      <c r="AD59" s="3">
        <f t="shared" si="24"/>
        <v>3.5598705501618122</v>
      </c>
      <c r="AE59">
        <v>25</v>
      </c>
      <c r="AF59" s="3">
        <f t="shared" si="25"/>
        <v>2.6968716289104639</v>
      </c>
      <c r="AG59">
        <v>39</v>
      </c>
      <c r="AH59" s="3">
        <f t="shared" si="26"/>
        <v>4.2071197411003238</v>
      </c>
      <c r="AI59">
        <v>307</v>
      </c>
      <c r="AJ59" s="3">
        <f t="shared" si="27"/>
        <v>33.117583603020499</v>
      </c>
      <c r="AK59">
        <v>47</v>
      </c>
      <c r="AL59" s="3">
        <f t="shared" si="16"/>
        <v>5.0701186623516721</v>
      </c>
      <c r="AM59">
        <v>167</v>
      </c>
      <c r="AN59" s="3">
        <f t="shared" si="28"/>
        <v>18.0151024811219</v>
      </c>
      <c r="AO59" t="s">
        <v>368</v>
      </c>
      <c r="AP59" s="72">
        <f>Дума_партии[[#This Row],[КОИБ]]</f>
        <v>2017</v>
      </c>
      <c r="AQ59" s="1" t="str">
        <f>IF(Дума_партии[[#This Row],[Наблюдателей]]=0,"",Дума_партии[[#This Row],[Наблюдателей]])</f>
        <v/>
      </c>
      <c r="AR59"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9.6727828746176669</v>
      </c>
      <c r="AS59" s="10">
        <f>2*(Мособлдума_одномандатный_6[[#This Row],[Лазутина Лариса Евгеньевна]]-(AC$203/100)*Мособлдума_одномандатный_6[[#This Row],[Число действительных бюллетеней]])</f>
        <v>12.65199999999993</v>
      </c>
      <c r="AT59" s="10">
        <f>(Мособлдума_одномандатный_6[[#This Row],[Вброс]]+Мособлдума_одномандатный_6[[#This Row],[Перекладывание]])/2</f>
        <v>11.162391437308798</v>
      </c>
    </row>
    <row r="60" spans="2:46" x14ac:dyDescent="0.4">
      <c r="B60" t="s">
        <v>74</v>
      </c>
      <c r="C60" t="s">
        <v>366</v>
      </c>
      <c r="D60" t="s">
        <v>138</v>
      </c>
      <c r="E60" t="s">
        <v>188</v>
      </c>
      <c r="F60" s="1">
        <f t="shared" ca="1" si="17"/>
        <v>3932</v>
      </c>
      <c r="G60" s="8" t="str">
        <f>Дума_партии[[#This Row],[Местоположение]]</f>
        <v>пос. ВНИИССОК</v>
      </c>
      <c r="H60" s="2" t="str">
        <f>LEFT(Мособлдума_одномандатный_6[[#This Row],[tik]],4)&amp;"."&amp;IF(ISNUMBER(VALUE(RIGHT(Мособлдума_одномандатный_6[[#This Row],[tik]]))),RIGHT(Мособлдума_одномандатный_6[[#This Row],[tik]]),"")</f>
        <v>Один.</v>
      </c>
      <c r="I60">
        <v>2799</v>
      </c>
      <c r="J60" s="8">
        <f>Мособлдума_одномандатный_6[[#This Row],[Число избирателей, внесенных в список на момент окончания голосования]]</f>
        <v>2799</v>
      </c>
      <c r="K60">
        <v>2500</v>
      </c>
      <c r="M60">
        <v>671</v>
      </c>
      <c r="N60">
        <v>93</v>
      </c>
      <c r="O60" s="3">
        <f t="shared" si="18"/>
        <v>27.295462665237586</v>
      </c>
      <c r="P60" s="3">
        <f t="shared" si="19"/>
        <v>3.322615219721329</v>
      </c>
      <c r="Q60">
        <v>1736</v>
      </c>
      <c r="R60">
        <v>93</v>
      </c>
      <c r="S60">
        <v>671</v>
      </c>
      <c r="T60" s="1">
        <f t="shared" si="20"/>
        <v>764</v>
      </c>
      <c r="U60" s="3">
        <f t="shared" si="21"/>
        <v>12.172774869109947</v>
      </c>
      <c r="V60">
        <v>37</v>
      </c>
      <c r="W60" s="3">
        <f t="shared" si="22"/>
        <v>4.842931937172775</v>
      </c>
      <c r="X60">
        <v>727</v>
      </c>
      <c r="Y60">
        <v>0</v>
      </c>
      <c r="Z60">
        <v>0</v>
      </c>
      <c r="AA60">
        <v>197</v>
      </c>
      <c r="AB60" s="3">
        <f t="shared" si="23"/>
        <v>25.785340314136125</v>
      </c>
      <c r="AC60">
        <v>20</v>
      </c>
      <c r="AD60" s="3">
        <f t="shared" si="24"/>
        <v>2.6178010471204187</v>
      </c>
      <c r="AE60">
        <v>21</v>
      </c>
      <c r="AF60" s="3">
        <f t="shared" si="25"/>
        <v>2.74869109947644</v>
      </c>
      <c r="AG60">
        <v>30</v>
      </c>
      <c r="AH60" s="3">
        <f t="shared" si="26"/>
        <v>3.9267015706806281</v>
      </c>
      <c r="AI60">
        <v>313</v>
      </c>
      <c r="AJ60" s="3">
        <f t="shared" si="27"/>
        <v>40.968586387434556</v>
      </c>
      <c r="AK60">
        <v>32</v>
      </c>
      <c r="AL60" s="3">
        <f t="shared" si="16"/>
        <v>4.1884816753926701</v>
      </c>
      <c r="AM60">
        <v>114</v>
      </c>
      <c r="AN60" s="3">
        <f t="shared" si="28"/>
        <v>14.921465968586388</v>
      </c>
      <c r="AO60" t="s">
        <v>368</v>
      </c>
      <c r="AP60" s="72">
        <f>Дума_партии[[#This Row],[КОИБ]]</f>
        <v>2017</v>
      </c>
      <c r="AQ60" s="1" t="str">
        <f>IF(Дума_партии[[#This Row],[Наблюдателей]]=0,"",Дума_партии[[#This Row],[Наблюдателей]])</f>
        <v/>
      </c>
      <c r="AR60"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93.972477064220129</v>
      </c>
      <c r="AS60" s="10">
        <f>2*(Мособлдума_одномандатный_6[[#This Row],[Лазутина Лариса Евгеньевна]]-(AC$203/100)*Мособлдума_одномандатный_6[[#This Row],[Число действительных бюллетеней]])</f>
        <v>122.91599999999994</v>
      </c>
      <c r="AT60" s="10">
        <f>(Мособлдума_одномандатный_6[[#This Row],[Вброс]]+Мособлдума_одномандатный_6[[#This Row],[Перекладывание]])/2</f>
        <v>108.44423853211003</v>
      </c>
    </row>
    <row r="61" spans="2:46" x14ac:dyDescent="0.4">
      <c r="B61" t="s">
        <v>74</v>
      </c>
      <c r="C61" t="s">
        <v>366</v>
      </c>
      <c r="D61" t="s">
        <v>138</v>
      </c>
      <c r="E61" t="s">
        <v>189</v>
      </c>
      <c r="F61" s="1">
        <f t="shared" ca="1" si="17"/>
        <v>3933</v>
      </c>
      <c r="G61" s="8" t="str">
        <f>Дума_партии[[#This Row],[Местоположение]]</f>
        <v>пос. ВНИИССОК</v>
      </c>
      <c r="H61" s="2" t="str">
        <f>LEFT(Мособлдума_одномандатный_6[[#This Row],[tik]],4)&amp;"."&amp;IF(ISNUMBER(VALUE(RIGHT(Мособлдума_одномандатный_6[[#This Row],[tik]]))),RIGHT(Мособлдума_одномандатный_6[[#This Row],[tik]]),"")</f>
        <v>Один.</v>
      </c>
      <c r="I61">
        <v>2544</v>
      </c>
      <c r="J61" s="8">
        <f>Мособлдума_одномандатный_6[[#This Row],[Число избирателей, внесенных в список на момент окончания голосования]]</f>
        <v>2544</v>
      </c>
      <c r="K61">
        <v>2000</v>
      </c>
      <c r="M61">
        <v>791</v>
      </c>
      <c r="N61">
        <v>186</v>
      </c>
      <c r="O61" s="3">
        <f t="shared" si="18"/>
        <v>38.404088050314463</v>
      </c>
      <c r="P61" s="3">
        <f t="shared" si="19"/>
        <v>7.3113207547169807</v>
      </c>
      <c r="Q61">
        <v>1023</v>
      </c>
      <c r="R61">
        <v>186</v>
      </c>
      <c r="S61">
        <v>791</v>
      </c>
      <c r="T61" s="1">
        <f t="shared" si="20"/>
        <v>977</v>
      </c>
      <c r="U61" s="3">
        <f t="shared" si="21"/>
        <v>19.037871033776867</v>
      </c>
      <c r="V61">
        <v>95</v>
      </c>
      <c r="W61" s="3">
        <f t="shared" si="22"/>
        <v>9.7236438075742075</v>
      </c>
      <c r="X61">
        <v>882</v>
      </c>
      <c r="Y61">
        <v>0</v>
      </c>
      <c r="Z61">
        <v>0</v>
      </c>
      <c r="AA61">
        <v>207</v>
      </c>
      <c r="AB61" s="3">
        <f t="shared" si="23"/>
        <v>21.187308085977481</v>
      </c>
      <c r="AC61">
        <v>30</v>
      </c>
      <c r="AD61" s="3">
        <f t="shared" si="24"/>
        <v>3.0706243602865917</v>
      </c>
      <c r="AE61">
        <v>33</v>
      </c>
      <c r="AF61" s="3">
        <f t="shared" si="25"/>
        <v>3.3776867963152508</v>
      </c>
      <c r="AG61">
        <v>31</v>
      </c>
      <c r="AH61" s="3">
        <f t="shared" si="26"/>
        <v>3.1729785056294779</v>
      </c>
      <c r="AI61">
        <v>370</v>
      </c>
      <c r="AJ61" s="3">
        <f t="shared" si="27"/>
        <v>37.871033776867961</v>
      </c>
      <c r="AK61">
        <v>63</v>
      </c>
      <c r="AL61" s="3">
        <f t="shared" si="16"/>
        <v>6.4483111566018421</v>
      </c>
      <c r="AM61">
        <v>148</v>
      </c>
      <c r="AN61" s="3">
        <f t="shared" si="28"/>
        <v>15.148413510747185</v>
      </c>
      <c r="AO61" t="s">
        <v>368</v>
      </c>
      <c r="AP61" s="72">
        <f>Дума_партии[[#This Row],[КОИБ]]</f>
        <v>2017</v>
      </c>
      <c r="AQ61" s="1" t="str">
        <f>IF(Дума_партии[[#This Row],[Наблюдателей]]=0,"",Дума_партии[[#This Row],[Наблюдателей]])</f>
        <v/>
      </c>
      <c r="AR61"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99.125382262996879</v>
      </c>
      <c r="AS61" s="10">
        <f>2*(Мособлдума_одномандатный_6[[#This Row],[Лазутина Лариса Евгеньевна]]-(AC$203/100)*Мособлдума_одномандатный_6[[#This Row],[Число действительных бюллетеней]])</f>
        <v>129.65599999999995</v>
      </c>
      <c r="AT61" s="10">
        <f>(Мособлдума_одномандатный_6[[#This Row],[Вброс]]+Мособлдума_одномандатный_6[[#This Row],[Перекладывание]])/2</f>
        <v>114.39069113149841</v>
      </c>
    </row>
    <row r="62" spans="2:46" x14ac:dyDescent="0.4">
      <c r="B62" t="s">
        <v>74</v>
      </c>
      <c r="C62" t="s">
        <v>366</v>
      </c>
      <c r="D62" t="s">
        <v>138</v>
      </c>
      <c r="E62" t="s">
        <v>190</v>
      </c>
      <c r="F62" s="1">
        <f t="shared" ca="1" si="17"/>
        <v>3936</v>
      </c>
      <c r="G62" s="8" t="str">
        <f>Дума_партии[[#This Row],[Местоположение]]</f>
        <v>пос. ВНИИССОК</v>
      </c>
      <c r="H62" s="2" t="str">
        <f>LEFT(Мособлдума_одномандатный_6[[#This Row],[tik]],4)&amp;"."&amp;IF(ISNUMBER(VALUE(RIGHT(Мособлдума_одномандатный_6[[#This Row],[tik]]))),RIGHT(Мособлдума_одномандатный_6[[#This Row],[tik]]),"")</f>
        <v>Один.</v>
      </c>
      <c r="I62">
        <v>1670</v>
      </c>
      <c r="J62" s="8">
        <f>Мособлдума_одномандатный_6[[#This Row],[Число избирателей, внесенных в список на момент окончания голосования]]</f>
        <v>1670</v>
      </c>
      <c r="K62">
        <v>1500</v>
      </c>
      <c r="M62">
        <v>598</v>
      </c>
      <c r="N62">
        <v>6</v>
      </c>
      <c r="O62" s="3">
        <f t="shared" si="18"/>
        <v>36.167664670658681</v>
      </c>
      <c r="P62" s="3">
        <f t="shared" si="19"/>
        <v>0.3592814371257485</v>
      </c>
      <c r="Q62">
        <v>896</v>
      </c>
      <c r="R62">
        <v>6</v>
      </c>
      <c r="S62">
        <v>598</v>
      </c>
      <c r="T62" s="1">
        <f t="shared" si="20"/>
        <v>604</v>
      </c>
      <c r="U62" s="3">
        <f t="shared" si="21"/>
        <v>0.99337748344370858</v>
      </c>
      <c r="V62">
        <v>25</v>
      </c>
      <c r="W62" s="3">
        <f t="shared" si="22"/>
        <v>4.1390728476821188</v>
      </c>
      <c r="X62">
        <v>579</v>
      </c>
      <c r="Y62">
        <v>0</v>
      </c>
      <c r="Z62">
        <v>0</v>
      </c>
      <c r="AA62">
        <v>121</v>
      </c>
      <c r="AB62" s="3">
        <f t="shared" si="23"/>
        <v>20.033112582781456</v>
      </c>
      <c r="AC62">
        <v>37</v>
      </c>
      <c r="AD62" s="3">
        <f t="shared" si="24"/>
        <v>6.1258278145695364</v>
      </c>
      <c r="AE62">
        <v>12</v>
      </c>
      <c r="AF62" s="3">
        <f t="shared" si="25"/>
        <v>1.9867549668874172</v>
      </c>
      <c r="AG62">
        <v>24</v>
      </c>
      <c r="AH62" s="3">
        <f t="shared" si="26"/>
        <v>3.9735099337748343</v>
      </c>
      <c r="AI62">
        <v>199</v>
      </c>
      <c r="AJ62" s="3">
        <f t="shared" si="27"/>
        <v>32.94701986754967</v>
      </c>
      <c r="AK62">
        <v>38</v>
      </c>
      <c r="AL62" s="3">
        <f t="shared" si="16"/>
        <v>6.2913907284768209</v>
      </c>
      <c r="AM62">
        <v>148</v>
      </c>
      <c r="AN62" s="3">
        <f t="shared" si="28"/>
        <v>24.503311258278146</v>
      </c>
      <c r="AO62" t="s">
        <v>368</v>
      </c>
      <c r="AP62" s="72" t="str">
        <f>Дума_партии[[#This Row],[КОИБ]]</f>
        <v>N</v>
      </c>
      <c r="AQ62" s="1" t="str">
        <f>IF(Дума_партии[[#This Row],[Наблюдателей]]=0,"",Дума_партии[[#This Row],[Наблюдателей]])</f>
        <v/>
      </c>
      <c r="AR62"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-2.0397553516820039</v>
      </c>
      <c r="AS62" s="10">
        <f>2*(Мособлдума_одномандатный_6[[#This Row],[Лазутина Лариса Евгеньевна]]-(AC$203/100)*Мособлдума_одномандатный_6[[#This Row],[Число действительных бюллетеней]])</f>
        <v>-2.6680000000000064</v>
      </c>
      <c r="AT62" s="10">
        <f>(Мособлдума_одномандатный_6[[#This Row],[Вброс]]+Мособлдума_одномандатный_6[[#This Row],[Перекладывание]])/2</f>
        <v>-2.3538776758410052</v>
      </c>
    </row>
    <row r="63" spans="2:46" x14ac:dyDescent="0.4">
      <c r="B63" t="s">
        <v>74</v>
      </c>
      <c r="C63" t="s">
        <v>366</v>
      </c>
      <c r="D63" t="s">
        <v>138</v>
      </c>
      <c r="E63" t="s">
        <v>191</v>
      </c>
      <c r="F63" s="1">
        <f t="shared" ca="1" si="17"/>
        <v>3938</v>
      </c>
      <c r="G63" s="8" t="str">
        <f>Дума_партии[[#This Row],[Местоположение]]</f>
        <v>пос. ВНИИССОК</v>
      </c>
      <c r="H63" s="2" t="str">
        <f>LEFT(Мособлдума_одномандатный_6[[#This Row],[tik]],4)&amp;"."&amp;IF(ISNUMBER(VALUE(RIGHT(Мособлдума_одномандатный_6[[#This Row],[tik]]))),RIGHT(Мособлдума_одномандатный_6[[#This Row],[tik]]),"")</f>
        <v>Один.</v>
      </c>
      <c r="I63">
        <v>1891</v>
      </c>
      <c r="J63" s="8">
        <f>Мособлдума_одномандатный_6[[#This Row],[Число избирателей, внесенных в список на момент окончания голосования]]</f>
        <v>1891</v>
      </c>
      <c r="K63">
        <v>1500</v>
      </c>
      <c r="M63">
        <v>776</v>
      </c>
      <c r="N63">
        <v>52</v>
      </c>
      <c r="O63" s="3">
        <f t="shared" si="18"/>
        <v>43.786356425171867</v>
      </c>
      <c r="P63" s="3">
        <f t="shared" si="19"/>
        <v>2.7498677948175567</v>
      </c>
      <c r="Q63">
        <v>672</v>
      </c>
      <c r="R63">
        <v>52</v>
      </c>
      <c r="S63">
        <v>776</v>
      </c>
      <c r="T63" s="1">
        <f t="shared" si="20"/>
        <v>828</v>
      </c>
      <c r="U63" s="3">
        <f t="shared" si="21"/>
        <v>6.2801932367149762</v>
      </c>
      <c r="V63">
        <v>23</v>
      </c>
      <c r="W63" s="3">
        <f t="shared" si="22"/>
        <v>2.7777777777777777</v>
      </c>
      <c r="X63">
        <v>805</v>
      </c>
      <c r="Y63">
        <v>0</v>
      </c>
      <c r="Z63">
        <v>0</v>
      </c>
      <c r="AA63">
        <v>129</v>
      </c>
      <c r="AB63" s="3">
        <f t="shared" si="23"/>
        <v>15.579710144927537</v>
      </c>
      <c r="AC63">
        <v>43</v>
      </c>
      <c r="AD63" s="3">
        <f t="shared" si="24"/>
        <v>5.1932367149758454</v>
      </c>
      <c r="AE63">
        <v>0</v>
      </c>
      <c r="AF63" s="3">
        <f t="shared" si="25"/>
        <v>0</v>
      </c>
      <c r="AG63">
        <v>14</v>
      </c>
      <c r="AH63" s="3">
        <f t="shared" si="26"/>
        <v>1.6908212560386473</v>
      </c>
      <c r="AI63">
        <v>485</v>
      </c>
      <c r="AJ63" s="3">
        <f t="shared" si="27"/>
        <v>58.574879227053138</v>
      </c>
      <c r="AK63">
        <v>38</v>
      </c>
      <c r="AL63" s="3">
        <f t="shared" si="16"/>
        <v>4.5893719806763285</v>
      </c>
      <c r="AM63">
        <v>96</v>
      </c>
      <c r="AN63" s="3">
        <f t="shared" si="28"/>
        <v>11.594202898550725</v>
      </c>
      <c r="AO63" t="s">
        <v>368</v>
      </c>
      <c r="AP63" s="72" t="str">
        <f>Дума_партии[[#This Row],[КОИБ]]</f>
        <v>N</v>
      </c>
      <c r="AQ63" s="1" t="str">
        <f>IF(Дума_партии[[#This Row],[Наблюдателей]]=0,"",Дума_партии[[#This Row],[Наблюдателей]])</f>
        <v/>
      </c>
      <c r="AR63"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315.70336391437309</v>
      </c>
      <c r="AS63" s="10">
        <f>2*(Мособлдума_одномандатный_6[[#This Row],[Лазутина Лариса Евгеньевна]]-(AC$203/100)*Мособлдума_одномандатный_6[[#This Row],[Число действительных бюллетеней]])</f>
        <v>412.93999999999994</v>
      </c>
      <c r="AT63" s="10">
        <f>(Мособлдума_одномандатный_6[[#This Row],[Вброс]]+Мособлдума_одномандатный_6[[#This Row],[Перекладывание]])/2</f>
        <v>364.32168195718651</v>
      </c>
    </row>
    <row r="64" spans="2:46" x14ac:dyDescent="0.4">
      <c r="B64" t="s">
        <v>74</v>
      </c>
      <c r="C64" t="s">
        <v>366</v>
      </c>
      <c r="D64" t="s">
        <v>138</v>
      </c>
      <c r="E64" t="s">
        <v>192</v>
      </c>
      <c r="F64" s="1">
        <f t="shared" ca="1" si="17"/>
        <v>3939</v>
      </c>
      <c r="G64" s="8" t="str">
        <f>Дума_партии[[#This Row],[Местоположение]]</f>
        <v>пос. ВНИИССОК</v>
      </c>
      <c r="H64" s="2" t="str">
        <f>LEFT(Мособлдума_одномандатный_6[[#This Row],[tik]],4)&amp;"."&amp;IF(ISNUMBER(VALUE(RIGHT(Мособлдума_одномандатный_6[[#This Row],[tik]]))),RIGHT(Мособлдума_одномандатный_6[[#This Row],[tik]]),"")</f>
        <v>Один.</v>
      </c>
      <c r="I64">
        <v>1984</v>
      </c>
      <c r="J64" s="8">
        <f>Мособлдума_одномандатный_6[[#This Row],[Число избирателей, внесенных в список на момент окончания голосования]]</f>
        <v>1984</v>
      </c>
      <c r="K64">
        <v>1500</v>
      </c>
      <c r="M64">
        <v>514</v>
      </c>
      <c r="N64">
        <v>7</v>
      </c>
      <c r="O64" s="3">
        <f t="shared" si="18"/>
        <v>26.260080645161292</v>
      </c>
      <c r="P64" s="3">
        <f t="shared" si="19"/>
        <v>0.35282258064516131</v>
      </c>
      <c r="Q64">
        <v>979</v>
      </c>
      <c r="R64">
        <v>7</v>
      </c>
      <c r="S64">
        <v>514</v>
      </c>
      <c r="T64" s="1">
        <f t="shared" si="20"/>
        <v>521</v>
      </c>
      <c r="U64" s="3">
        <f t="shared" si="21"/>
        <v>1.3435700575815739</v>
      </c>
      <c r="V64">
        <v>65</v>
      </c>
      <c r="W64" s="3">
        <f t="shared" si="22"/>
        <v>12.476007677543187</v>
      </c>
      <c r="X64">
        <v>456</v>
      </c>
      <c r="Y64">
        <v>0</v>
      </c>
      <c r="Z64">
        <v>0</v>
      </c>
      <c r="AA64">
        <v>136</v>
      </c>
      <c r="AB64" s="3">
        <f t="shared" si="23"/>
        <v>26.103646833013435</v>
      </c>
      <c r="AC64">
        <v>24</v>
      </c>
      <c r="AD64" s="3">
        <f t="shared" si="24"/>
        <v>4.6065259117082533</v>
      </c>
      <c r="AE64">
        <v>19</v>
      </c>
      <c r="AF64" s="3">
        <f t="shared" si="25"/>
        <v>3.6468330134357005</v>
      </c>
      <c r="AG64">
        <v>14</v>
      </c>
      <c r="AH64" s="3">
        <f t="shared" si="26"/>
        <v>2.6871401151631478</v>
      </c>
      <c r="AI64">
        <v>126</v>
      </c>
      <c r="AJ64" s="3">
        <f t="shared" si="27"/>
        <v>24.184261036468332</v>
      </c>
      <c r="AK64">
        <v>31</v>
      </c>
      <c r="AL64" s="3">
        <f t="shared" si="16"/>
        <v>5.9500959692898272</v>
      </c>
      <c r="AM64">
        <v>106</v>
      </c>
      <c r="AN64" s="3">
        <f t="shared" si="28"/>
        <v>20.345489443378121</v>
      </c>
      <c r="AO64" t="s">
        <v>368</v>
      </c>
      <c r="AP64" s="72">
        <f>Дума_партии[[#This Row],[КОИБ]]</f>
        <v>2017</v>
      </c>
      <c r="AQ64" s="1" t="str">
        <f>IF(Дума_партии[[#This Row],[Наблюдателей]]=0,"",Дума_партии[[#This Row],[Наблюдателей]])</f>
        <v/>
      </c>
      <c r="AR64"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-48.587155963302791</v>
      </c>
      <c r="AS64" s="10">
        <f>2*(Мособлдума_одномандатный_6[[#This Row],[Лазутина Лариса Евгеньевна]]-(AC$203/100)*Мособлдума_одномандатный_6[[#This Row],[Число действительных бюллетеней]])</f>
        <v>-63.552000000000021</v>
      </c>
      <c r="AT64" s="10">
        <f>(Мособлдума_одномандатный_6[[#This Row],[Вброс]]+Мособлдума_одномандатный_6[[#This Row],[Перекладывание]])/2</f>
        <v>-56.069577981651406</v>
      </c>
    </row>
    <row r="65" spans="2:46" x14ac:dyDescent="0.4">
      <c r="B65" t="s">
        <v>74</v>
      </c>
      <c r="C65" t="s">
        <v>366</v>
      </c>
      <c r="D65" t="s">
        <v>138</v>
      </c>
      <c r="E65" t="s">
        <v>193</v>
      </c>
      <c r="F65" s="1">
        <f t="shared" ca="1" si="17"/>
        <v>3945</v>
      </c>
      <c r="G65" s="8" t="str">
        <f>Дума_партии[[#This Row],[Местоположение]]</f>
        <v>Жуковка</v>
      </c>
      <c r="H65" s="2" t="str">
        <f>LEFT(Мособлдума_одномандатный_6[[#This Row],[tik]],4)&amp;"."&amp;IF(ISNUMBER(VALUE(RIGHT(Мособлдума_одномандатный_6[[#This Row],[tik]]))),RIGHT(Мособлдума_одномандатный_6[[#This Row],[tik]]),"")</f>
        <v>Один.</v>
      </c>
      <c r="I65">
        <v>628</v>
      </c>
      <c r="J65" s="8">
        <f>Мособлдума_одномандатный_6[[#This Row],[Число избирателей, внесенных в список на момент окончания голосования]]</f>
        <v>628</v>
      </c>
      <c r="K65">
        <v>500</v>
      </c>
      <c r="M65">
        <v>133</v>
      </c>
      <c r="N65">
        <v>32</v>
      </c>
      <c r="O65" s="3">
        <f t="shared" si="18"/>
        <v>26.273885350318473</v>
      </c>
      <c r="P65" s="3">
        <f t="shared" si="19"/>
        <v>5.0955414012738851</v>
      </c>
      <c r="Q65">
        <v>335</v>
      </c>
      <c r="R65">
        <v>32</v>
      </c>
      <c r="S65">
        <v>133</v>
      </c>
      <c r="T65" s="1">
        <f t="shared" si="20"/>
        <v>165</v>
      </c>
      <c r="U65" s="3">
        <f t="shared" si="21"/>
        <v>19.393939393939394</v>
      </c>
      <c r="V65">
        <v>8</v>
      </c>
      <c r="W65" s="3">
        <f t="shared" si="22"/>
        <v>4.8484848484848486</v>
      </c>
      <c r="X65">
        <v>157</v>
      </c>
      <c r="Y65">
        <v>0</v>
      </c>
      <c r="Z65">
        <v>0</v>
      </c>
      <c r="AA65">
        <v>37</v>
      </c>
      <c r="AB65" s="3">
        <f t="shared" si="23"/>
        <v>22.424242424242426</v>
      </c>
      <c r="AC65">
        <v>7</v>
      </c>
      <c r="AD65" s="3">
        <f t="shared" si="24"/>
        <v>4.2424242424242422</v>
      </c>
      <c r="AE65">
        <v>7</v>
      </c>
      <c r="AF65" s="3">
        <f t="shared" si="25"/>
        <v>4.2424242424242422</v>
      </c>
      <c r="AG65">
        <v>6</v>
      </c>
      <c r="AH65" s="3">
        <f t="shared" si="26"/>
        <v>3.6363636363636362</v>
      </c>
      <c r="AI65">
        <v>62</v>
      </c>
      <c r="AJ65" s="3">
        <f t="shared" si="27"/>
        <v>37.575757575757578</v>
      </c>
      <c r="AK65">
        <v>11</v>
      </c>
      <c r="AL65" s="3">
        <f t="shared" si="16"/>
        <v>6.666666666666667</v>
      </c>
      <c r="AM65">
        <v>27</v>
      </c>
      <c r="AN65" s="3">
        <f t="shared" si="28"/>
        <v>16.363636363636363</v>
      </c>
      <c r="AO65" t="s">
        <v>368</v>
      </c>
      <c r="AP65" s="72">
        <f>Дума_партии[[#This Row],[КОИБ]]</f>
        <v>2017</v>
      </c>
      <c r="AQ65" s="1">
        <f>IF(Дума_партии[[#This Row],[Наблюдателей]]=0,"",Дума_партии[[#This Row],[Наблюдателей]])</f>
        <v>2</v>
      </c>
      <c r="AR65"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11.740061162079499</v>
      </c>
      <c r="AS65" s="10">
        <f>2*(Мособлдума_одномандатный_6[[#This Row],[Лазутина Лариса Евгеньевна]]-(AC$203/100)*Мособлдума_одномандатный_6[[#This Row],[Число действительных бюллетеней]])</f>
        <v>15.355999999999995</v>
      </c>
      <c r="AT65" s="10">
        <f>(Мособлдума_одномандатный_6[[#This Row],[Вброс]]+Мособлдума_одномандатный_6[[#This Row],[Перекладывание]])/2</f>
        <v>13.548030581039747</v>
      </c>
    </row>
    <row r="66" spans="2:46" x14ac:dyDescent="0.4">
      <c r="B66" t="s">
        <v>74</v>
      </c>
      <c r="C66" t="s">
        <v>366</v>
      </c>
      <c r="D66" t="s">
        <v>138</v>
      </c>
      <c r="E66" t="s">
        <v>194</v>
      </c>
      <c r="F66" s="1">
        <f t="shared" ca="1" si="17"/>
        <v>3949</v>
      </c>
      <c r="G66" s="8" t="str">
        <f>Дума_партии[[#This Row],[Местоположение]]</f>
        <v>Дом отдыха «Огарёво»</v>
      </c>
      <c r="H66" s="2" t="str">
        <f>LEFT(Мособлдума_одномандатный_6[[#This Row],[tik]],4)&amp;"."&amp;IF(ISNUMBER(VALUE(RIGHT(Мособлдума_одномандатный_6[[#This Row],[tik]]))),RIGHT(Мособлдума_одномандатный_6[[#This Row],[tik]]),"")</f>
        <v>Один.</v>
      </c>
      <c r="I66">
        <v>1469</v>
      </c>
      <c r="J66" s="8">
        <f>Мособлдума_одномандатный_6[[#This Row],[Число избирателей, внесенных в список на момент окончания голосования]]</f>
        <v>1469</v>
      </c>
      <c r="K66">
        <v>1300</v>
      </c>
      <c r="M66">
        <v>404</v>
      </c>
      <c r="N66">
        <v>25</v>
      </c>
      <c r="O66" s="3">
        <f t="shared" si="18"/>
        <v>29.20353982300885</v>
      </c>
      <c r="P66" s="3">
        <f t="shared" si="19"/>
        <v>1.7018379850238257</v>
      </c>
      <c r="Q66">
        <v>871</v>
      </c>
      <c r="R66">
        <v>25</v>
      </c>
      <c r="S66">
        <v>404</v>
      </c>
      <c r="T66" s="1">
        <f t="shared" si="20"/>
        <v>429</v>
      </c>
      <c r="U66" s="3">
        <f t="shared" si="21"/>
        <v>5.8275058275058278</v>
      </c>
      <c r="V66">
        <v>44</v>
      </c>
      <c r="W66" s="3">
        <f t="shared" si="22"/>
        <v>10.256410256410257</v>
      </c>
      <c r="X66">
        <v>385</v>
      </c>
      <c r="Y66">
        <v>0</v>
      </c>
      <c r="Z66">
        <v>0</v>
      </c>
      <c r="AA66">
        <v>76</v>
      </c>
      <c r="AB66" s="3">
        <f t="shared" si="23"/>
        <v>17.715617715617714</v>
      </c>
      <c r="AC66">
        <v>13</v>
      </c>
      <c r="AD66" s="3">
        <f t="shared" si="24"/>
        <v>3.0303030303030303</v>
      </c>
      <c r="AE66">
        <v>13</v>
      </c>
      <c r="AF66" s="3">
        <f t="shared" si="25"/>
        <v>3.0303030303030303</v>
      </c>
      <c r="AG66">
        <v>20</v>
      </c>
      <c r="AH66" s="3">
        <f t="shared" si="26"/>
        <v>4.6620046620046622</v>
      </c>
      <c r="AI66">
        <v>127</v>
      </c>
      <c r="AJ66" s="3">
        <f t="shared" si="27"/>
        <v>29.603729603729604</v>
      </c>
      <c r="AK66">
        <v>24</v>
      </c>
      <c r="AL66" s="3">
        <f t="shared" si="16"/>
        <v>5.5944055944055942</v>
      </c>
      <c r="AM66">
        <v>112</v>
      </c>
      <c r="AN66" s="3">
        <f t="shared" si="28"/>
        <v>26.107226107226108</v>
      </c>
      <c r="AO66" t="s">
        <v>368</v>
      </c>
      <c r="AP66" s="72">
        <f>Дума_партии[[#This Row],[КОИБ]]</f>
        <v>2017</v>
      </c>
      <c r="AQ66" s="1">
        <f>IF(Дума_партии[[#This Row],[Наблюдателей]]=0,"",Дума_партии[[#This Row],[Наблюдателей]])</f>
        <v>5</v>
      </c>
      <c r="AR66"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-9.4954128440367356</v>
      </c>
      <c r="AS66" s="10">
        <f>2*(Мособлдума_одномандатный_6[[#This Row],[Лазутина Лариса Евгеньевна]]-(AC$203/100)*Мособлдума_одномандатный_6[[#This Row],[Число действительных бюллетеней]])</f>
        <v>-12.420000000000016</v>
      </c>
      <c r="AT66" s="10">
        <f>(Мособлдума_одномандатный_6[[#This Row],[Вброс]]+Мособлдума_одномандатный_6[[#This Row],[Перекладывание]])/2</f>
        <v>-10.957706422018376</v>
      </c>
    </row>
    <row r="67" spans="2:46" x14ac:dyDescent="0.4">
      <c r="B67" t="s">
        <v>74</v>
      </c>
      <c r="C67" t="s">
        <v>366</v>
      </c>
      <c r="D67" t="s">
        <v>138</v>
      </c>
      <c r="E67" t="s">
        <v>195</v>
      </c>
      <c r="F67" s="1">
        <f t="shared" ca="1" si="17"/>
        <v>3950</v>
      </c>
      <c r="G67" s="8" t="str">
        <f>Дума_партии[[#This Row],[Местоположение]]</f>
        <v>Ершово</v>
      </c>
      <c r="H67" s="2" t="str">
        <f>LEFT(Мособлдума_одномандатный_6[[#This Row],[tik]],4)&amp;"."&amp;IF(ISNUMBER(VALUE(RIGHT(Мособлдума_одномандатный_6[[#This Row],[tik]]))),RIGHT(Мособлдума_одномандатный_6[[#This Row],[tik]]),"")</f>
        <v>Один.</v>
      </c>
      <c r="I67">
        <v>2564</v>
      </c>
      <c r="J67" s="8">
        <f>Мособлдума_одномандатный_6[[#This Row],[Число избирателей, внесенных в список на момент окончания голосования]]</f>
        <v>2564</v>
      </c>
      <c r="K67">
        <v>2000</v>
      </c>
      <c r="M67">
        <v>1250</v>
      </c>
      <c r="N67">
        <v>191</v>
      </c>
      <c r="O67" s="3">
        <f t="shared" si="18"/>
        <v>56.201248049922</v>
      </c>
      <c r="P67" s="3">
        <f t="shared" si="19"/>
        <v>7.4492979719188765</v>
      </c>
      <c r="Q67">
        <v>559</v>
      </c>
      <c r="R67">
        <v>191</v>
      </c>
      <c r="S67">
        <v>1250</v>
      </c>
      <c r="T67" s="1">
        <f t="shared" si="20"/>
        <v>1441</v>
      </c>
      <c r="U67" s="3">
        <f t="shared" si="21"/>
        <v>13.25468424705066</v>
      </c>
      <c r="V67">
        <v>76</v>
      </c>
      <c r="W67" s="3">
        <f t="shared" si="22"/>
        <v>5.2741151977793201</v>
      </c>
      <c r="X67">
        <v>1365</v>
      </c>
      <c r="Y67">
        <v>0</v>
      </c>
      <c r="Z67">
        <v>0</v>
      </c>
      <c r="AA67">
        <v>177</v>
      </c>
      <c r="AB67" s="3">
        <f t="shared" si="23"/>
        <v>12.283136710617626</v>
      </c>
      <c r="AC67">
        <v>55</v>
      </c>
      <c r="AD67" s="3">
        <f t="shared" si="24"/>
        <v>3.8167938931297711</v>
      </c>
      <c r="AE67">
        <v>33</v>
      </c>
      <c r="AF67" s="3">
        <f t="shared" si="25"/>
        <v>2.2900763358778624</v>
      </c>
      <c r="AG67">
        <v>32</v>
      </c>
      <c r="AH67" s="3">
        <f t="shared" si="26"/>
        <v>2.2206800832755031</v>
      </c>
      <c r="AI67">
        <v>711</v>
      </c>
      <c r="AJ67" s="3">
        <f t="shared" si="27"/>
        <v>49.340735600277583</v>
      </c>
      <c r="AK67">
        <v>91</v>
      </c>
      <c r="AL67" s="3">
        <f t="shared" si="16"/>
        <v>6.3150589868147122</v>
      </c>
      <c r="AM67">
        <v>266</v>
      </c>
      <c r="AN67" s="3">
        <f t="shared" si="28"/>
        <v>18.459403192227619</v>
      </c>
      <c r="AO67" t="s">
        <v>368</v>
      </c>
      <c r="AP67" s="72" t="str">
        <f>Дума_партии[[#This Row],[КОИБ]]</f>
        <v>N</v>
      </c>
      <c r="AQ67" s="1" t="str">
        <f>IF(Дума_партии[[#This Row],[Наблюдателей]]=0,"",Дума_партии[[#This Row],[Наблюдателей]])</f>
        <v/>
      </c>
      <c r="AR67"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364.99999999999994</v>
      </c>
      <c r="AS67" s="10">
        <f>2*(Мособлдума_одномандатный_6[[#This Row],[Лазутина Лариса Евгеньевна]]-(AC$203/100)*Мособлдума_одномандатный_6[[#This Row],[Число действительных бюллетеней]])</f>
        <v>477.41999999999996</v>
      </c>
      <c r="AT67" s="10">
        <f>(Мособлдума_одномандатный_6[[#This Row],[Вброс]]+Мособлдума_одномандатный_6[[#This Row],[Перекладывание]])/2</f>
        <v>421.20999999999992</v>
      </c>
    </row>
    <row r="68" spans="2:46" x14ac:dyDescent="0.4">
      <c r="B68" t="s">
        <v>74</v>
      </c>
      <c r="C68" t="s">
        <v>366</v>
      </c>
      <c r="D68" t="s">
        <v>138</v>
      </c>
      <c r="E68" t="s">
        <v>196</v>
      </c>
      <c r="F68" s="1">
        <f t="shared" ca="1" si="17"/>
        <v>3952</v>
      </c>
      <c r="G68" s="8" t="str">
        <f>Дума_партии[[#This Row],[Местоположение]]</f>
        <v>военный городок №32</v>
      </c>
      <c r="H68" s="2" t="str">
        <f>LEFT(Мособлдума_одномандатный_6[[#This Row],[tik]],4)&amp;"."&amp;IF(ISNUMBER(VALUE(RIGHT(Мособлдума_одномандатный_6[[#This Row],[tik]]))),RIGHT(Мособлдума_одномандатный_6[[#This Row],[tik]]),"")</f>
        <v>Один.</v>
      </c>
      <c r="I68">
        <v>711</v>
      </c>
      <c r="J68" s="8">
        <f>Мособлдума_одномандатный_6[[#This Row],[Число избирателей, внесенных в список на момент окончания голосования]]</f>
        <v>711</v>
      </c>
      <c r="K68">
        <v>700</v>
      </c>
      <c r="M68">
        <v>387</v>
      </c>
      <c r="N68">
        <v>69</v>
      </c>
      <c r="O68" s="3">
        <f t="shared" si="18"/>
        <v>64.135021097046419</v>
      </c>
      <c r="P68" s="3">
        <f t="shared" si="19"/>
        <v>9.7046413502109701</v>
      </c>
      <c r="Q68">
        <v>244</v>
      </c>
      <c r="R68">
        <v>69</v>
      </c>
      <c r="S68">
        <v>387</v>
      </c>
      <c r="T68" s="1">
        <f t="shared" si="20"/>
        <v>456</v>
      </c>
      <c r="U68" s="3">
        <f t="shared" si="21"/>
        <v>15.131578947368421</v>
      </c>
      <c r="V68">
        <v>24</v>
      </c>
      <c r="W68" s="3">
        <f t="shared" si="22"/>
        <v>5.2631578947368425</v>
      </c>
      <c r="X68">
        <v>432</v>
      </c>
      <c r="Y68">
        <v>0</v>
      </c>
      <c r="Z68">
        <v>0</v>
      </c>
      <c r="AA68">
        <v>66</v>
      </c>
      <c r="AB68" s="3">
        <f t="shared" si="23"/>
        <v>14.473684210526315</v>
      </c>
      <c r="AC68">
        <v>16</v>
      </c>
      <c r="AD68" s="3">
        <f t="shared" si="24"/>
        <v>3.5087719298245612</v>
      </c>
      <c r="AE68">
        <v>18</v>
      </c>
      <c r="AF68" s="3">
        <f t="shared" si="25"/>
        <v>3.9473684210526314</v>
      </c>
      <c r="AG68">
        <v>14</v>
      </c>
      <c r="AH68" s="3">
        <f t="shared" si="26"/>
        <v>3.0701754385964914</v>
      </c>
      <c r="AI68">
        <v>200</v>
      </c>
      <c r="AJ68" s="3">
        <f t="shared" si="27"/>
        <v>43.859649122807021</v>
      </c>
      <c r="AK68">
        <v>32</v>
      </c>
      <c r="AL68" s="3">
        <f t="shared" si="16"/>
        <v>7.0175438596491224</v>
      </c>
      <c r="AM68">
        <v>86</v>
      </c>
      <c r="AN68" s="3">
        <f t="shared" si="28"/>
        <v>18.859649122807017</v>
      </c>
      <c r="AO68" t="s">
        <v>368</v>
      </c>
      <c r="AP68" s="72">
        <f>Дума_партии[[#This Row],[КОИБ]]</f>
        <v>2017</v>
      </c>
      <c r="AQ68" s="1" t="str">
        <f>IF(Дума_партии[[#This Row],[Наблюдателей]]=0,"",Дума_партии[[#This Row],[Наблюдателей]])</f>
        <v/>
      </c>
      <c r="AR68"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77.259938837920458</v>
      </c>
      <c r="AS68" s="10">
        <f>2*(Мособлдума_одномандатный_6[[#This Row],[Лазутина Лариса Евгеньевна]]-(AC$203/100)*Мособлдума_одномандатный_6[[#This Row],[Число действительных бюллетеней]])</f>
        <v>101.05599999999998</v>
      </c>
      <c r="AT68" s="10">
        <f>(Мособлдума_одномандатный_6[[#This Row],[Вброс]]+Мособлдума_одномандатный_6[[#This Row],[Перекладывание]])/2</f>
        <v>89.157969418960221</v>
      </c>
    </row>
    <row r="69" spans="2:46" x14ac:dyDescent="0.4">
      <c r="B69" t="s">
        <v>74</v>
      </c>
      <c r="C69" t="s">
        <v>366</v>
      </c>
      <c r="D69" t="s">
        <v>138</v>
      </c>
      <c r="E69" t="s">
        <v>197</v>
      </c>
      <c r="F69" s="1">
        <f t="shared" ca="1" si="17"/>
        <v>3953</v>
      </c>
      <c r="G69" s="8" t="str">
        <f>Дума_партии[[#This Row],[Местоположение]]</f>
        <v>Ивановка</v>
      </c>
      <c r="H69" s="2" t="str">
        <f>LEFT(Мособлдума_одномандатный_6[[#This Row],[tik]],4)&amp;"."&amp;IF(ISNUMBER(VALUE(RIGHT(Мособлдума_одномандатный_6[[#This Row],[tik]]))),RIGHT(Мособлдума_одномандатный_6[[#This Row],[tik]]),"")</f>
        <v>Один.</v>
      </c>
      <c r="I69">
        <v>676</v>
      </c>
      <c r="J69" s="8">
        <f>Мособлдума_одномандатный_6[[#This Row],[Число избирателей, внесенных в список на момент окончания голосования]]</f>
        <v>676</v>
      </c>
      <c r="K69">
        <v>600</v>
      </c>
      <c r="M69">
        <v>200</v>
      </c>
      <c r="N69">
        <v>142</v>
      </c>
      <c r="O69" s="3">
        <f t="shared" si="18"/>
        <v>50.591715976331358</v>
      </c>
      <c r="P69" s="3">
        <f t="shared" si="19"/>
        <v>21.005917159763314</v>
      </c>
      <c r="Q69">
        <v>258</v>
      </c>
      <c r="R69">
        <v>142</v>
      </c>
      <c r="S69">
        <v>200</v>
      </c>
      <c r="T69" s="1">
        <f t="shared" si="20"/>
        <v>342</v>
      </c>
      <c r="U69" s="3">
        <f t="shared" si="21"/>
        <v>41.520467836257311</v>
      </c>
      <c r="V69">
        <v>10</v>
      </c>
      <c r="W69" s="3">
        <f t="shared" si="22"/>
        <v>2.9239766081871346</v>
      </c>
      <c r="X69">
        <v>332</v>
      </c>
      <c r="Y69">
        <v>0</v>
      </c>
      <c r="Z69">
        <v>0</v>
      </c>
      <c r="AA69">
        <v>54</v>
      </c>
      <c r="AB69" s="3">
        <f t="shared" si="23"/>
        <v>15.789473684210526</v>
      </c>
      <c r="AC69">
        <v>20</v>
      </c>
      <c r="AD69" s="3">
        <f t="shared" si="24"/>
        <v>5.8479532163742691</v>
      </c>
      <c r="AE69">
        <v>8</v>
      </c>
      <c r="AF69" s="3">
        <f t="shared" si="25"/>
        <v>2.3391812865497075</v>
      </c>
      <c r="AG69">
        <v>11</v>
      </c>
      <c r="AH69" s="3">
        <f t="shared" si="26"/>
        <v>3.2163742690058479</v>
      </c>
      <c r="AI69">
        <v>164</v>
      </c>
      <c r="AJ69" s="3">
        <f t="shared" si="27"/>
        <v>47.953216374269005</v>
      </c>
      <c r="AK69">
        <v>29</v>
      </c>
      <c r="AL69" s="3">
        <f t="shared" si="16"/>
        <v>8.4795321637426895</v>
      </c>
      <c r="AM69">
        <v>46</v>
      </c>
      <c r="AN69" s="3">
        <f t="shared" si="28"/>
        <v>13.450292397660819</v>
      </c>
      <c r="AO69" t="s">
        <v>368</v>
      </c>
      <c r="AP69" s="72">
        <f>Дума_партии[[#This Row],[КОИБ]]</f>
        <v>2017</v>
      </c>
      <c r="AQ69" s="1" t="str">
        <f>IF(Дума_партии[[#This Row],[Наблюдателей]]=0,"",Дума_партии[[#This Row],[Наблюдателей]])</f>
        <v/>
      </c>
      <c r="AR69"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75.119266055045856</v>
      </c>
      <c r="AS69" s="10">
        <f>2*(Мособлдума_одномандатный_6[[#This Row],[Лазутина Лариса Евгеньевна]]-(AC$203/100)*Мособлдума_одномандатный_6[[#This Row],[Число действительных бюллетеней]])</f>
        <v>98.255999999999972</v>
      </c>
      <c r="AT69" s="10">
        <f>(Мособлдума_одномандатный_6[[#This Row],[Вброс]]+Мособлдума_одномандатный_6[[#This Row],[Перекладывание]])/2</f>
        <v>86.687633027522907</v>
      </c>
    </row>
    <row r="70" spans="2:46" x14ac:dyDescent="0.4">
      <c r="B70" t="s">
        <v>74</v>
      </c>
      <c r="C70" t="s">
        <v>366</v>
      </c>
      <c r="D70" t="s">
        <v>138</v>
      </c>
      <c r="E70" t="s">
        <v>198</v>
      </c>
      <c r="F70" s="1">
        <f t="shared" ca="1" si="17"/>
        <v>3954</v>
      </c>
      <c r="G70" s="8" t="str">
        <f>Дума_партии[[#This Row],[Местоположение]]</f>
        <v>Каринское</v>
      </c>
      <c r="H70" s="2" t="str">
        <f>LEFT(Мособлдума_одномандатный_6[[#This Row],[tik]],4)&amp;"."&amp;IF(ISNUMBER(VALUE(RIGHT(Мособлдума_одномандатный_6[[#This Row],[tik]]))),RIGHT(Мособлдума_одномандатный_6[[#This Row],[tik]]),"")</f>
        <v>Один.</v>
      </c>
      <c r="I70">
        <v>1747</v>
      </c>
      <c r="J70" s="8">
        <f>Мособлдума_одномандатный_6[[#This Row],[Число избирателей, внесенных в список на момент окончания голосования]]</f>
        <v>1747</v>
      </c>
      <c r="K70">
        <v>1500</v>
      </c>
      <c r="M70">
        <v>655</v>
      </c>
      <c r="N70">
        <v>107</v>
      </c>
      <c r="O70" s="3">
        <f t="shared" si="18"/>
        <v>43.617630223239843</v>
      </c>
      <c r="P70" s="3">
        <f t="shared" si="19"/>
        <v>6.1247853463079567</v>
      </c>
      <c r="Q70">
        <v>738</v>
      </c>
      <c r="R70">
        <v>107</v>
      </c>
      <c r="S70">
        <v>655</v>
      </c>
      <c r="T70" s="1">
        <f t="shared" si="20"/>
        <v>762</v>
      </c>
      <c r="U70" s="3">
        <f t="shared" si="21"/>
        <v>14.041994750656167</v>
      </c>
      <c r="V70">
        <v>74</v>
      </c>
      <c r="W70" s="3">
        <f t="shared" si="22"/>
        <v>9.7112860892388451</v>
      </c>
      <c r="X70">
        <v>688</v>
      </c>
      <c r="Y70">
        <v>0</v>
      </c>
      <c r="Z70">
        <v>0</v>
      </c>
      <c r="AA70">
        <v>149</v>
      </c>
      <c r="AB70" s="3">
        <f t="shared" si="23"/>
        <v>19.553805774278214</v>
      </c>
      <c r="AC70">
        <v>22</v>
      </c>
      <c r="AD70" s="3">
        <f t="shared" si="24"/>
        <v>2.8871391076115485</v>
      </c>
      <c r="AE70">
        <v>25</v>
      </c>
      <c r="AF70" s="3">
        <f t="shared" si="25"/>
        <v>3.2808398950131235</v>
      </c>
      <c r="AG70">
        <v>20</v>
      </c>
      <c r="AH70" s="3">
        <f t="shared" si="26"/>
        <v>2.6246719160104988</v>
      </c>
      <c r="AI70">
        <v>258</v>
      </c>
      <c r="AJ70" s="3">
        <f t="shared" si="27"/>
        <v>33.85826771653543</v>
      </c>
      <c r="AK70">
        <v>56</v>
      </c>
      <c r="AL70" s="3">
        <f t="shared" si="16"/>
        <v>7.349081364829396</v>
      </c>
      <c r="AM70">
        <v>158</v>
      </c>
      <c r="AN70" s="3">
        <f t="shared" si="28"/>
        <v>20.73490813648294</v>
      </c>
      <c r="AO70" t="s">
        <v>368</v>
      </c>
      <c r="AP70" s="72">
        <f>Дума_партии[[#This Row],[КОИБ]]</f>
        <v>2017</v>
      </c>
      <c r="AQ70" s="1" t="str">
        <f>IF(Дума_партии[[#This Row],[Наблюдателей]]=0,"",Дума_партии[[#This Row],[Наблюдателей]])</f>
        <v/>
      </c>
      <c r="AR70"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30.507645259938784</v>
      </c>
      <c r="AS70" s="10">
        <f>2*(Мособлдума_одномандатный_6[[#This Row],[Лазутина Лариса Евгеньевна]]-(AC$203/100)*Мособлдума_одномандатный_6[[#This Row],[Число действительных бюллетеней]])</f>
        <v>39.90399999999994</v>
      </c>
      <c r="AT70" s="10">
        <f>(Мособлдума_одномандатный_6[[#This Row],[Вброс]]+Мособлдума_одномандатный_6[[#This Row],[Перекладывание]])/2</f>
        <v>35.205822629969362</v>
      </c>
    </row>
    <row r="71" spans="2:46" x14ac:dyDescent="0.4">
      <c r="B71" t="s">
        <v>74</v>
      </c>
      <c r="C71" t="s">
        <v>366</v>
      </c>
      <c r="D71" t="s">
        <v>138</v>
      </c>
      <c r="E71" t="s">
        <v>199</v>
      </c>
      <c r="F71" s="1">
        <f t="shared" ca="1" si="17"/>
        <v>3955</v>
      </c>
      <c r="G71" s="8" t="str">
        <f>Дума_партии[[#This Row],[Местоположение]]</f>
        <v>Саввинская Слобода</v>
      </c>
      <c r="H71" s="2" t="str">
        <f>LEFT(Мособлдума_одномандатный_6[[#This Row],[tik]],4)&amp;"."&amp;IF(ISNUMBER(VALUE(RIGHT(Мособлдума_одномандатный_6[[#This Row],[tik]]))),RIGHT(Мособлдума_одномандатный_6[[#This Row],[tik]]),"")</f>
        <v>Один.</v>
      </c>
      <c r="I71">
        <v>1907</v>
      </c>
      <c r="J71" s="8">
        <f>Мособлдума_одномандатный_6[[#This Row],[Число избирателей, внесенных в список на момент окончания голосования]]</f>
        <v>1907</v>
      </c>
      <c r="K71">
        <v>1500</v>
      </c>
      <c r="M71">
        <v>875</v>
      </c>
      <c r="N71">
        <v>119</v>
      </c>
      <c r="O71" s="3">
        <f t="shared" si="18"/>
        <v>52.123754588358679</v>
      </c>
      <c r="P71" s="3">
        <f t="shared" si="19"/>
        <v>6.2401678028316727</v>
      </c>
      <c r="Q71">
        <v>506</v>
      </c>
      <c r="R71">
        <v>119</v>
      </c>
      <c r="S71">
        <v>875</v>
      </c>
      <c r="T71" s="1">
        <f t="shared" si="20"/>
        <v>994</v>
      </c>
      <c r="U71" s="3">
        <f t="shared" si="21"/>
        <v>11.971830985915492</v>
      </c>
      <c r="V71">
        <v>35</v>
      </c>
      <c r="W71" s="3">
        <f t="shared" si="22"/>
        <v>3.5211267605633805</v>
      </c>
      <c r="X71">
        <v>959</v>
      </c>
      <c r="Y71">
        <v>0</v>
      </c>
      <c r="Z71">
        <v>0</v>
      </c>
      <c r="AA71">
        <v>196</v>
      </c>
      <c r="AB71" s="3">
        <f t="shared" si="23"/>
        <v>19.718309859154928</v>
      </c>
      <c r="AC71">
        <v>48</v>
      </c>
      <c r="AD71" s="3">
        <f t="shared" si="24"/>
        <v>4.8289738430583498</v>
      </c>
      <c r="AE71">
        <v>20</v>
      </c>
      <c r="AF71" s="3">
        <f t="shared" si="25"/>
        <v>2.0120724346076457</v>
      </c>
      <c r="AG71">
        <v>39</v>
      </c>
      <c r="AH71" s="3">
        <f t="shared" si="26"/>
        <v>3.9235412474849096</v>
      </c>
      <c r="AI71">
        <v>339</v>
      </c>
      <c r="AJ71" s="3">
        <f t="shared" si="27"/>
        <v>34.104627766599599</v>
      </c>
      <c r="AK71">
        <v>99</v>
      </c>
      <c r="AL71" s="3">
        <f t="shared" si="16"/>
        <v>9.9597585513078464</v>
      </c>
      <c r="AM71">
        <v>218</v>
      </c>
      <c r="AN71" s="3">
        <f t="shared" si="28"/>
        <v>21.931589537223338</v>
      </c>
      <c r="AO71" t="s">
        <v>368</v>
      </c>
      <c r="AP71" s="72">
        <f>Дума_партии[[#This Row],[КОИБ]]</f>
        <v>2017</v>
      </c>
      <c r="AQ71" s="1" t="str">
        <f>IF(Дума_партии[[#This Row],[Наблюдателей]]=0,"",Дума_партии[[#This Row],[Наблюдателей]])</f>
        <v/>
      </c>
      <c r="AR71"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10.98776758409781</v>
      </c>
      <c r="AS71" s="10">
        <f>2*(Мособлдума_одномандатный_6[[#This Row],[Лазутина Лариса Евгеньевна]]-(AC$203/100)*Мособлдума_одномандатный_6[[#This Row],[Число действительных бюллетеней]])</f>
        <v>14.371999999999957</v>
      </c>
      <c r="AT71" s="10">
        <f>(Мособлдума_одномандатный_6[[#This Row],[Вброс]]+Мособлдума_одномандатный_6[[#This Row],[Перекладывание]])/2</f>
        <v>12.679883792048884</v>
      </c>
    </row>
    <row r="72" spans="2:46" x14ac:dyDescent="0.4">
      <c r="B72" t="s">
        <v>74</v>
      </c>
      <c r="C72" t="s">
        <v>366</v>
      </c>
      <c r="D72" t="s">
        <v>138</v>
      </c>
      <c r="E72" t="s">
        <v>200</v>
      </c>
      <c r="F72" s="1">
        <f t="shared" ca="1" si="17"/>
        <v>3957</v>
      </c>
      <c r="G72" s="8" t="str">
        <f>Дума_партии[[#This Row],[Местоположение]]</f>
        <v>Жаворонки</v>
      </c>
      <c r="H72" s="2" t="str">
        <f>LEFT(Мособлдума_одномандатный_6[[#This Row],[tik]],4)&amp;"."&amp;IF(ISNUMBER(VALUE(RIGHT(Мособлдума_одномандатный_6[[#This Row],[tik]]))),RIGHT(Мособлдума_одномандатный_6[[#This Row],[tik]]),"")</f>
        <v>Один.</v>
      </c>
      <c r="I72">
        <v>1194</v>
      </c>
      <c r="J72" s="8">
        <f>Мособлдума_одномандатный_6[[#This Row],[Число избирателей, внесенных в список на момент окончания голосования]]</f>
        <v>1194</v>
      </c>
      <c r="K72">
        <v>1000</v>
      </c>
      <c r="M72">
        <v>419</v>
      </c>
      <c r="N72">
        <v>27</v>
      </c>
      <c r="O72" s="3">
        <f t="shared" si="18"/>
        <v>37.353433835845898</v>
      </c>
      <c r="P72" s="3">
        <f t="shared" si="19"/>
        <v>2.2613065326633164</v>
      </c>
      <c r="Q72">
        <v>554</v>
      </c>
      <c r="R72">
        <v>27</v>
      </c>
      <c r="S72">
        <v>392</v>
      </c>
      <c r="T72" s="1">
        <f t="shared" si="20"/>
        <v>419</v>
      </c>
      <c r="U72" s="3">
        <f t="shared" si="21"/>
        <v>6.4439140811455848</v>
      </c>
      <c r="V72">
        <v>38</v>
      </c>
      <c r="W72" s="3">
        <f t="shared" si="22"/>
        <v>9.0692124105011942</v>
      </c>
      <c r="X72">
        <v>381</v>
      </c>
      <c r="Y72">
        <v>0</v>
      </c>
      <c r="Z72">
        <v>0</v>
      </c>
      <c r="AA72">
        <v>70</v>
      </c>
      <c r="AB72" s="3">
        <f t="shared" si="23"/>
        <v>16.706443914081145</v>
      </c>
      <c r="AC72">
        <v>16</v>
      </c>
      <c r="AD72" s="3">
        <f t="shared" si="24"/>
        <v>3.8186157517899759</v>
      </c>
      <c r="AE72">
        <v>15</v>
      </c>
      <c r="AF72" s="3">
        <f t="shared" si="25"/>
        <v>3.5799522673031028</v>
      </c>
      <c r="AG72">
        <v>12</v>
      </c>
      <c r="AH72" s="3">
        <f t="shared" si="26"/>
        <v>2.8639618138424821</v>
      </c>
      <c r="AI72">
        <v>157</v>
      </c>
      <c r="AJ72" s="3">
        <f t="shared" si="27"/>
        <v>37.470167064439138</v>
      </c>
      <c r="AK72">
        <v>29</v>
      </c>
      <c r="AL72" s="3">
        <f t="shared" si="16"/>
        <v>6.921241050119332</v>
      </c>
      <c r="AM72">
        <v>82</v>
      </c>
      <c r="AN72" s="3">
        <f t="shared" si="28"/>
        <v>19.570405727923628</v>
      </c>
      <c r="AO72" t="s">
        <v>368</v>
      </c>
      <c r="AP72" s="72">
        <f>Дума_партии[[#This Row],[КОИБ]]</f>
        <v>2017</v>
      </c>
      <c r="AQ72" s="1" t="str">
        <f>IF(Дума_партии[[#This Row],[Наблюдателей]]=0,"",Дума_партии[[#This Row],[Наблюдателей]])</f>
        <v/>
      </c>
      <c r="AR72"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38.492354740061131</v>
      </c>
      <c r="AS72" s="10">
        <f>2*(Мособлдума_одномандатный_6[[#This Row],[Лазутина Лариса Евгеньевна]]-(AC$203/100)*Мособлдума_одномандатный_6[[#This Row],[Число действительных бюллетеней]])</f>
        <v>50.347999999999956</v>
      </c>
      <c r="AT72" s="10">
        <f>(Мособлдума_одномандатный_6[[#This Row],[Вброс]]+Мособлдума_одномандатный_6[[#This Row],[Перекладывание]])/2</f>
        <v>44.420177370030544</v>
      </c>
    </row>
    <row r="73" spans="2:46" x14ac:dyDescent="0.4">
      <c r="B73" t="s">
        <v>74</v>
      </c>
      <c r="C73" t="s">
        <v>366</v>
      </c>
      <c r="D73" t="s">
        <v>138</v>
      </c>
      <c r="E73" t="s">
        <v>201</v>
      </c>
      <c r="F73" s="1">
        <f t="shared" ca="1" si="17"/>
        <v>3958</v>
      </c>
      <c r="G73" s="8" t="str">
        <f>Дума_партии[[#This Row],[Местоположение]]</f>
        <v>Жаворонки</v>
      </c>
      <c r="H73" s="2" t="str">
        <f>LEFT(Мособлдума_одномандатный_6[[#This Row],[tik]],4)&amp;"."&amp;IF(ISNUMBER(VALUE(RIGHT(Мособлдума_одномандатный_6[[#This Row],[tik]]))),RIGHT(Мособлдума_одномандатный_6[[#This Row],[tik]]),"")</f>
        <v>Один.</v>
      </c>
      <c r="I73">
        <v>1129</v>
      </c>
      <c r="J73" s="8">
        <f>Мособлдума_одномандатный_6[[#This Row],[Число избирателей, внесенных в список на момент окончания голосования]]</f>
        <v>1129</v>
      </c>
      <c r="K73">
        <v>1000</v>
      </c>
      <c r="M73">
        <v>439</v>
      </c>
      <c r="N73">
        <v>19</v>
      </c>
      <c r="O73" s="3">
        <f t="shared" si="18"/>
        <v>40.566873339238263</v>
      </c>
      <c r="P73" s="3">
        <f t="shared" si="19"/>
        <v>1.6829052258635961</v>
      </c>
      <c r="Q73">
        <v>542</v>
      </c>
      <c r="R73">
        <v>19</v>
      </c>
      <c r="S73">
        <v>438</v>
      </c>
      <c r="T73" s="1">
        <f t="shared" si="20"/>
        <v>457</v>
      </c>
      <c r="U73" s="3">
        <f t="shared" si="21"/>
        <v>4.1575492341356677</v>
      </c>
      <c r="V73">
        <v>32</v>
      </c>
      <c r="W73" s="3">
        <f t="shared" si="22"/>
        <v>7.0021881838074398</v>
      </c>
      <c r="X73">
        <v>425</v>
      </c>
      <c r="Y73">
        <v>0</v>
      </c>
      <c r="Z73">
        <v>0</v>
      </c>
      <c r="AA73">
        <v>76</v>
      </c>
      <c r="AB73" s="3">
        <f t="shared" si="23"/>
        <v>16.630196936542671</v>
      </c>
      <c r="AC73">
        <v>18</v>
      </c>
      <c r="AD73" s="3">
        <f t="shared" si="24"/>
        <v>3.9387308533916849</v>
      </c>
      <c r="AE73">
        <v>13</v>
      </c>
      <c r="AF73" s="3">
        <f t="shared" si="25"/>
        <v>2.8446389496717726</v>
      </c>
      <c r="AG73">
        <v>18</v>
      </c>
      <c r="AH73" s="3">
        <f t="shared" si="26"/>
        <v>3.9387308533916849</v>
      </c>
      <c r="AI73">
        <v>162</v>
      </c>
      <c r="AJ73" s="3">
        <f t="shared" si="27"/>
        <v>35.448577680525162</v>
      </c>
      <c r="AK73">
        <v>46</v>
      </c>
      <c r="AL73" s="3">
        <f t="shared" si="16"/>
        <v>10.065645514223196</v>
      </c>
      <c r="AM73">
        <v>92</v>
      </c>
      <c r="AN73" s="3">
        <f t="shared" si="28"/>
        <v>20.131291028446391</v>
      </c>
      <c r="AO73" t="s">
        <v>368</v>
      </c>
      <c r="AP73" s="72">
        <f>Дума_партии[[#This Row],[КОИБ]]</f>
        <v>2017</v>
      </c>
      <c r="AQ73" s="1" t="str">
        <f>IF(Дума_партии[[#This Row],[Наблюдателей]]=0,"",Дума_партии[[#This Row],[Наблюдателей]])</f>
        <v/>
      </c>
      <c r="AR73"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22.859327217125355</v>
      </c>
      <c r="AS73" s="10">
        <f>2*(Мособлдума_одномандатный_6[[#This Row],[Лазутина Лариса Евгеньевна]]-(AC$203/100)*Мособлдума_одномандатный_6[[#This Row],[Число действительных бюллетеней]])</f>
        <v>29.899999999999977</v>
      </c>
      <c r="AT73" s="10">
        <f>(Мособлдума_одномандатный_6[[#This Row],[Вброс]]+Мособлдума_одномандатный_6[[#This Row],[Перекладывание]])/2</f>
        <v>26.379663608562666</v>
      </c>
    </row>
    <row r="74" spans="2:46" x14ac:dyDescent="0.4">
      <c r="B74" t="s">
        <v>74</v>
      </c>
      <c r="C74" t="s">
        <v>366</v>
      </c>
      <c r="D74" t="s">
        <v>138</v>
      </c>
      <c r="E74" t="s">
        <v>202</v>
      </c>
      <c r="F74" s="1">
        <f t="shared" ca="1" si="17"/>
        <v>3959</v>
      </c>
      <c r="G74" s="8" t="str">
        <f>Дума_партии[[#This Row],[Местоположение]]</f>
        <v>Ликино</v>
      </c>
      <c r="H74" s="2" t="str">
        <f>LEFT(Мособлдума_одномандатный_6[[#This Row],[tik]],4)&amp;"."&amp;IF(ISNUMBER(VALUE(RIGHT(Мособлдума_одномандатный_6[[#This Row],[tik]]))),RIGHT(Мособлдума_одномандатный_6[[#This Row],[tik]]),"")</f>
        <v>Один.</v>
      </c>
      <c r="I74">
        <v>1498</v>
      </c>
      <c r="J74" s="8">
        <f>Мособлдума_одномандатный_6[[#This Row],[Число избирателей, внесенных в список на момент окончания голосования]]</f>
        <v>1498</v>
      </c>
      <c r="K74">
        <v>1200</v>
      </c>
      <c r="M74">
        <v>536</v>
      </c>
      <c r="N74">
        <v>50</v>
      </c>
      <c r="O74" s="3">
        <f t="shared" si="18"/>
        <v>39.118825100133513</v>
      </c>
      <c r="P74" s="3">
        <f t="shared" si="19"/>
        <v>3.3377837116154874</v>
      </c>
      <c r="Q74">
        <v>614</v>
      </c>
      <c r="R74">
        <v>50</v>
      </c>
      <c r="S74">
        <v>521</v>
      </c>
      <c r="T74" s="1">
        <f t="shared" si="20"/>
        <v>571</v>
      </c>
      <c r="U74" s="3">
        <f t="shared" si="21"/>
        <v>8.7565674255691768</v>
      </c>
      <c r="V74">
        <v>55</v>
      </c>
      <c r="W74" s="3">
        <f t="shared" si="22"/>
        <v>9.6322241681260952</v>
      </c>
      <c r="X74">
        <v>516</v>
      </c>
      <c r="Y74">
        <v>0</v>
      </c>
      <c r="Z74">
        <v>0</v>
      </c>
      <c r="AA74">
        <v>103</v>
      </c>
      <c r="AB74" s="3">
        <f t="shared" si="23"/>
        <v>18.038528896672503</v>
      </c>
      <c r="AC74">
        <v>20</v>
      </c>
      <c r="AD74" s="3">
        <f t="shared" si="24"/>
        <v>3.5026269702276709</v>
      </c>
      <c r="AE74">
        <v>20</v>
      </c>
      <c r="AF74" s="3">
        <f t="shared" si="25"/>
        <v>3.5026269702276709</v>
      </c>
      <c r="AG74">
        <v>16</v>
      </c>
      <c r="AH74" s="3">
        <f t="shared" si="26"/>
        <v>2.8021015761821366</v>
      </c>
      <c r="AI74">
        <v>194</v>
      </c>
      <c r="AJ74" s="3">
        <f t="shared" si="27"/>
        <v>33.975481611208409</v>
      </c>
      <c r="AK74">
        <v>37</v>
      </c>
      <c r="AL74" s="3">
        <f t="shared" si="16"/>
        <v>6.4798598949211907</v>
      </c>
      <c r="AM74">
        <v>126</v>
      </c>
      <c r="AN74" s="3">
        <f t="shared" si="28"/>
        <v>22.066549912434326</v>
      </c>
      <c r="AO74" t="s">
        <v>368</v>
      </c>
      <c r="AP74" s="72">
        <f>Дума_партии[[#This Row],[КОИБ]]</f>
        <v>2017</v>
      </c>
      <c r="AQ74" s="1">
        <f>IF(Дума_партии[[#This Row],[Наблюдателей]]=0,"",Дума_партии[[#This Row],[Наблюдателей]])</f>
        <v>1</v>
      </c>
      <c r="AR74"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23.645259938837881</v>
      </c>
      <c r="AS74" s="10">
        <f>2*(Мособлдума_одномандатный_6[[#This Row],[Лазутина Лариса Евгеньевна]]-(AC$203/100)*Мособлдума_одномандатный_6[[#This Row],[Число действительных бюллетеней]])</f>
        <v>30.927999999999997</v>
      </c>
      <c r="AT74" s="10">
        <f>(Мособлдума_одномандатный_6[[#This Row],[Вброс]]+Мособлдума_одномандатный_6[[#This Row],[Перекладывание]])/2</f>
        <v>27.286629969418939</v>
      </c>
    </row>
    <row r="75" spans="2:46" x14ac:dyDescent="0.4">
      <c r="B75" t="s">
        <v>74</v>
      </c>
      <c r="C75" t="s">
        <v>366</v>
      </c>
      <c r="D75" t="s">
        <v>138</v>
      </c>
      <c r="E75" t="s">
        <v>203</v>
      </c>
      <c r="F75" s="1">
        <f t="shared" ca="1" si="17"/>
        <v>3960</v>
      </c>
      <c r="G75" s="8" t="str">
        <f>Дума_партии[[#This Row],[Местоположение]]</f>
        <v>Осоргино</v>
      </c>
      <c r="H75" s="2" t="str">
        <f>LEFT(Мособлдума_одномандатный_6[[#This Row],[tik]],4)&amp;"."&amp;IF(ISNUMBER(VALUE(RIGHT(Мособлдума_одномандатный_6[[#This Row],[tik]]))),RIGHT(Мособлдума_одномандатный_6[[#This Row],[tik]]),"")</f>
        <v>Один.</v>
      </c>
      <c r="I75">
        <v>1859</v>
      </c>
      <c r="J75" s="8">
        <f>Мособлдума_одномандатный_6[[#This Row],[Число избирателей, внесенных в список на момент окончания голосования]]</f>
        <v>1859</v>
      </c>
      <c r="K75">
        <v>1500</v>
      </c>
      <c r="M75">
        <v>351</v>
      </c>
      <c r="N75">
        <v>32</v>
      </c>
      <c r="O75" s="3">
        <f t="shared" si="18"/>
        <v>20.602474448628296</v>
      </c>
      <c r="P75" s="3">
        <f t="shared" si="19"/>
        <v>1.7213555675094137</v>
      </c>
      <c r="Q75">
        <v>1117</v>
      </c>
      <c r="R75">
        <v>32</v>
      </c>
      <c r="S75">
        <v>351</v>
      </c>
      <c r="T75" s="1">
        <f t="shared" si="20"/>
        <v>383</v>
      </c>
      <c r="U75" s="3">
        <f t="shared" si="21"/>
        <v>8.3550913838120113</v>
      </c>
      <c r="V75">
        <v>30</v>
      </c>
      <c r="W75" s="3">
        <f t="shared" si="22"/>
        <v>7.8328981723237598</v>
      </c>
      <c r="X75">
        <v>353</v>
      </c>
      <c r="Y75">
        <v>0</v>
      </c>
      <c r="Z75">
        <v>0</v>
      </c>
      <c r="AA75">
        <v>98</v>
      </c>
      <c r="AB75" s="3">
        <f t="shared" si="23"/>
        <v>25.587467362924283</v>
      </c>
      <c r="AC75">
        <v>13</v>
      </c>
      <c r="AD75" s="3">
        <f t="shared" si="24"/>
        <v>3.3942558746736293</v>
      </c>
      <c r="AE75">
        <v>17</v>
      </c>
      <c r="AF75" s="3">
        <f t="shared" si="25"/>
        <v>4.438642297650131</v>
      </c>
      <c r="AG75">
        <v>17</v>
      </c>
      <c r="AH75" s="3">
        <f t="shared" si="26"/>
        <v>4.438642297650131</v>
      </c>
      <c r="AI75">
        <v>108</v>
      </c>
      <c r="AJ75" s="3">
        <f t="shared" si="27"/>
        <v>28.198433420365536</v>
      </c>
      <c r="AK75">
        <v>24</v>
      </c>
      <c r="AL75" s="3">
        <f t="shared" si="16"/>
        <v>6.2663185378590081</v>
      </c>
      <c r="AM75">
        <v>76</v>
      </c>
      <c r="AN75" s="3">
        <f t="shared" si="28"/>
        <v>19.843342036553526</v>
      </c>
      <c r="AO75" t="s">
        <v>368</v>
      </c>
      <c r="AP75" s="72">
        <f>Дума_партии[[#This Row],[КОИБ]]</f>
        <v>2017</v>
      </c>
      <c r="AQ75" s="1" t="str">
        <f>IF(Дума_партии[[#This Row],[Наблюдателей]]=0,"",Дума_партии[[#This Row],[Наблюдателей]])</f>
        <v/>
      </c>
      <c r="AR75"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-21.617737003058124</v>
      </c>
      <c r="AS75" s="10">
        <f>2*(Мособлдума_одномандатный_6[[#This Row],[Лазутина Лариса Евгеньевна]]-(AC$203/100)*Мособлдума_одномандатный_6[[#This Row],[Число действительных бюллетеней]])</f>
        <v>-28.27600000000001</v>
      </c>
      <c r="AT75" s="10">
        <f>(Мособлдума_одномандатный_6[[#This Row],[Вброс]]+Мособлдума_одномандатный_6[[#This Row],[Перекладывание]])/2</f>
        <v>-24.946868501529067</v>
      </c>
    </row>
    <row r="76" spans="2:46" x14ac:dyDescent="0.4">
      <c r="B76" t="s">
        <v>74</v>
      </c>
      <c r="C76" t="s">
        <v>366</v>
      </c>
      <c r="D76" t="s">
        <v>138</v>
      </c>
      <c r="E76" t="s">
        <v>204</v>
      </c>
      <c r="F76" s="1">
        <f t="shared" ca="1" si="17"/>
        <v>3961</v>
      </c>
      <c r="G76" s="8" t="str">
        <f>Дума_партии[[#This Row],[Местоположение]]</f>
        <v>Перхушково</v>
      </c>
      <c r="H76" s="2" t="str">
        <f>LEFT(Мособлдума_одномандатный_6[[#This Row],[tik]],4)&amp;"."&amp;IF(ISNUMBER(VALUE(RIGHT(Мособлдума_одномандатный_6[[#This Row],[tik]]))),RIGHT(Мособлдума_одномандатный_6[[#This Row],[tik]]),"")</f>
        <v>Один.</v>
      </c>
      <c r="I76">
        <v>1315</v>
      </c>
      <c r="J76" s="8">
        <f>Мособлдума_одномандатный_6[[#This Row],[Число избирателей, внесенных в список на момент окончания голосования]]</f>
        <v>1315</v>
      </c>
      <c r="K76">
        <v>1000</v>
      </c>
      <c r="M76">
        <v>395</v>
      </c>
      <c r="N76">
        <v>42</v>
      </c>
      <c r="O76" s="3">
        <f t="shared" si="18"/>
        <v>33.231939163498097</v>
      </c>
      <c r="P76" s="3">
        <f t="shared" si="19"/>
        <v>3.1939163498098861</v>
      </c>
      <c r="Q76">
        <v>563</v>
      </c>
      <c r="R76">
        <v>42</v>
      </c>
      <c r="S76">
        <v>394</v>
      </c>
      <c r="T76" s="1">
        <f t="shared" si="20"/>
        <v>436</v>
      </c>
      <c r="U76" s="3">
        <f t="shared" si="21"/>
        <v>9.6330275229357802</v>
      </c>
      <c r="V76">
        <v>19</v>
      </c>
      <c r="W76" s="3">
        <f t="shared" si="22"/>
        <v>4.3577981651376145</v>
      </c>
      <c r="X76">
        <v>417</v>
      </c>
      <c r="Y76">
        <v>0</v>
      </c>
      <c r="Z76">
        <v>0</v>
      </c>
      <c r="AA76">
        <v>96</v>
      </c>
      <c r="AB76" s="3">
        <f t="shared" si="23"/>
        <v>22.01834862385321</v>
      </c>
      <c r="AC76">
        <v>24</v>
      </c>
      <c r="AD76" s="3">
        <f t="shared" si="24"/>
        <v>5.5045871559633026</v>
      </c>
      <c r="AE76">
        <v>13</v>
      </c>
      <c r="AF76" s="3">
        <f t="shared" si="25"/>
        <v>2.9816513761467891</v>
      </c>
      <c r="AG76">
        <v>25</v>
      </c>
      <c r="AH76" s="3">
        <f t="shared" si="26"/>
        <v>5.7339449541284404</v>
      </c>
      <c r="AI76">
        <v>112</v>
      </c>
      <c r="AJ76" s="3">
        <f t="shared" si="27"/>
        <v>25.688073394495412</v>
      </c>
      <c r="AK76">
        <v>37</v>
      </c>
      <c r="AL76" s="3">
        <f t="shared" si="16"/>
        <v>8.4862385321100913</v>
      </c>
      <c r="AM76">
        <v>110</v>
      </c>
      <c r="AN76" s="3">
        <f t="shared" si="28"/>
        <v>25.229357798165136</v>
      </c>
      <c r="AO76" t="s">
        <v>368</v>
      </c>
      <c r="AP76" s="72">
        <f>Дума_партии[[#This Row],[КОИБ]]</f>
        <v>2017</v>
      </c>
      <c r="AQ76" s="1">
        <f>IF(Дума_партии[[#This Row],[Наблюдателей]]=0,"",Дума_партии[[#This Row],[Наблюдателей]])</f>
        <v>2</v>
      </c>
      <c r="AR76"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-49.360856269113185</v>
      </c>
      <c r="AS76" s="10">
        <f>2*(Мособлдума_одномандатный_6[[#This Row],[Лазутина Лариса Евгеньевна]]-(AC$203/100)*Мособлдума_одномандатный_6[[#This Row],[Число действительных бюллетеней]])</f>
        <v>-64.564000000000021</v>
      </c>
      <c r="AT76" s="10">
        <f>(Мособлдума_одномандатный_6[[#This Row],[Вброс]]+Мособлдума_одномандатный_6[[#This Row],[Перекладывание]])/2</f>
        <v>-56.962428134556603</v>
      </c>
    </row>
    <row r="77" spans="2:46" x14ac:dyDescent="0.4">
      <c r="B77" t="s">
        <v>74</v>
      </c>
      <c r="C77" t="s">
        <v>366</v>
      </c>
      <c r="D77" t="s">
        <v>138</v>
      </c>
      <c r="E77" t="s">
        <v>205</v>
      </c>
      <c r="F77" s="1">
        <f t="shared" ca="1" si="17"/>
        <v>3962</v>
      </c>
      <c r="G77" s="8" t="str">
        <f>Дума_партии[[#This Row],[Местоположение]]</f>
        <v>Юдино</v>
      </c>
      <c r="H77" s="2" t="str">
        <f>LEFT(Мособлдума_одномандатный_6[[#This Row],[tik]],4)&amp;"."&amp;IF(ISNUMBER(VALUE(RIGHT(Мособлдума_одномандатный_6[[#This Row],[tik]]))),RIGHT(Мособлдума_одномандатный_6[[#This Row],[tik]]),"")</f>
        <v>Один.</v>
      </c>
      <c r="I77">
        <v>1300</v>
      </c>
      <c r="J77" s="8">
        <f>Мособлдума_одномандатный_6[[#This Row],[Число избирателей, внесенных в список на момент окончания голосования]]</f>
        <v>1300</v>
      </c>
      <c r="K77">
        <v>1000</v>
      </c>
      <c r="M77">
        <v>602</v>
      </c>
      <c r="N77">
        <v>30</v>
      </c>
      <c r="O77" s="3">
        <f t="shared" si="18"/>
        <v>48.615384615384613</v>
      </c>
      <c r="P77" s="3">
        <f t="shared" si="19"/>
        <v>2.3076923076923075</v>
      </c>
      <c r="Q77">
        <v>368</v>
      </c>
      <c r="R77">
        <v>30</v>
      </c>
      <c r="S77">
        <v>602</v>
      </c>
      <c r="T77" s="1">
        <f t="shared" si="20"/>
        <v>632</v>
      </c>
      <c r="U77" s="3">
        <f t="shared" si="21"/>
        <v>4.7468354430379751</v>
      </c>
      <c r="V77">
        <v>28</v>
      </c>
      <c r="W77" s="3">
        <f t="shared" si="22"/>
        <v>4.4303797468354427</v>
      </c>
      <c r="X77">
        <v>604</v>
      </c>
      <c r="Y77">
        <v>0</v>
      </c>
      <c r="Z77">
        <v>0</v>
      </c>
      <c r="AA77">
        <v>93</v>
      </c>
      <c r="AB77" s="3">
        <f t="shared" si="23"/>
        <v>14.715189873417721</v>
      </c>
      <c r="AC77">
        <v>20</v>
      </c>
      <c r="AD77" s="3">
        <f t="shared" si="24"/>
        <v>3.1645569620253164</v>
      </c>
      <c r="AE77">
        <v>8</v>
      </c>
      <c r="AF77" s="3">
        <f t="shared" si="25"/>
        <v>1.2658227848101267</v>
      </c>
      <c r="AG77">
        <v>16</v>
      </c>
      <c r="AH77" s="3">
        <f t="shared" si="26"/>
        <v>2.5316455696202533</v>
      </c>
      <c r="AI77">
        <v>346</v>
      </c>
      <c r="AJ77" s="3">
        <f t="shared" si="27"/>
        <v>54.746835443037973</v>
      </c>
      <c r="AK77">
        <v>25</v>
      </c>
      <c r="AL77" s="3">
        <f t="shared" si="16"/>
        <v>3.9556962025316458</v>
      </c>
      <c r="AM77">
        <v>96</v>
      </c>
      <c r="AN77" s="3">
        <f t="shared" si="28"/>
        <v>15.189873417721518</v>
      </c>
      <c r="AO77" t="s">
        <v>368</v>
      </c>
      <c r="AP77" s="72" t="str">
        <f>Дума_партии[[#This Row],[КОИБ]]</f>
        <v>N</v>
      </c>
      <c r="AQ77" s="1" t="str">
        <f>IF(Дума_партии[[#This Row],[Наблюдателей]]=0,"",Дума_партии[[#This Row],[Наблюдателей]])</f>
        <v/>
      </c>
      <c r="AR77"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209.50458715596326</v>
      </c>
      <c r="AS77" s="10">
        <f>2*(Мособлдума_одномандатный_6[[#This Row],[Лазутина Лариса Евгеньевна]]-(AC$203/100)*Мособлдума_одномандатный_6[[#This Row],[Число действительных бюллетеней]])</f>
        <v>274.03199999999998</v>
      </c>
      <c r="AT77" s="10">
        <f>(Мособлдума_одномандатный_6[[#This Row],[Вброс]]+Мособлдума_одномандатный_6[[#This Row],[Перекладывание]])/2</f>
        <v>241.76829357798164</v>
      </c>
    </row>
    <row r="78" spans="2:46" x14ac:dyDescent="0.4">
      <c r="B78" t="s">
        <v>74</v>
      </c>
      <c r="C78" t="s">
        <v>366</v>
      </c>
      <c r="D78" t="s">
        <v>138</v>
      </c>
      <c r="E78" t="s">
        <v>206</v>
      </c>
      <c r="F78" s="1">
        <f t="shared" ca="1" si="17"/>
        <v>3963</v>
      </c>
      <c r="G78" s="8" t="str">
        <f>Дума_партии[[#This Row],[Местоположение]]</f>
        <v>Летний Отдых</v>
      </c>
      <c r="H78" s="2" t="str">
        <f>LEFT(Мособлдума_одномандатный_6[[#This Row],[tik]],4)&amp;"."&amp;IF(ISNUMBER(VALUE(RIGHT(Мособлдума_одномандатный_6[[#This Row],[tik]]))),RIGHT(Мособлдума_одномандатный_6[[#This Row],[tik]]),"")</f>
        <v>Один.</v>
      </c>
      <c r="I78">
        <v>2038</v>
      </c>
      <c r="J78" s="8">
        <f>Мособлдума_одномандатный_6[[#This Row],[Число избирателей, внесенных в список на момент окончания голосования]]</f>
        <v>2038</v>
      </c>
      <c r="K78">
        <v>1500</v>
      </c>
      <c r="M78">
        <v>810</v>
      </c>
      <c r="N78">
        <v>274</v>
      </c>
      <c r="O78" s="3">
        <f t="shared" si="18"/>
        <v>53.189401373895976</v>
      </c>
      <c r="P78" s="3">
        <f t="shared" si="19"/>
        <v>13.444553483807654</v>
      </c>
      <c r="Q78">
        <v>416</v>
      </c>
      <c r="R78">
        <v>274</v>
      </c>
      <c r="S78">
        <v>810</v>
      </c>
      <c r="T78" s="1">
        <f t="shared" si="20"/>
        <v>1084</v>
      </c>
      <c r="U78" s="3">
        <f t="shared" si="21"/>
        <v>25.276752767527675</v>
      </c>
      <c r="V78">
        <v>62</v>
      </c>
      <c r="W78" s="3">
        <f t="shared" si="22"/>
        <v>5.719557195571956</v>
      </c>
      <c r="X78">
        <v>1022</v>
      </c>
      <c r="Y78">
        <v>0</v>
      </c>
      <c r="Z78">
        <v>0</v>
      </c>
      <c r="AA78">
        <v>123</v>
      </c>
      <c r="AB78" s="3">
        <f t="shared" si="23"/>
        <v>11.346863468634686</v>
      </c>
      <c r="AC78">
        <v>29</v>
      </c>
      <c r="AD78" s="3">
        <f t="shared" si="24"/>
        <v>2.6752767527675276</v>
      </c>
      <c r="AE78">
        <v>26</v>
      </c>
      <c r="AF78" s="3">
        <f t="shared" si="25"/>
        <v>2.3985239852398523</v>
      </c>
      <c r="AG78">
        <v>19</v>
      </c>
      <c r="AH78" s="3">
        <f t="shared" si="26"/>
        <v>1.7527675276752768</v>
      </c>
      <c r="AI78">
        <v>557</v>
      </c>
      <c r="AJ78" s="3">
        <f t="shared" si="27"/>
        <v>51.383763837638377</v>
      </c>
      <c r="AK78">
        <v>71</v>
      </c>
      <c r="AL78" s="3">
        <f t="shared" si="16"/>
        <v>6.5498154981549819</v>
      </c>
      <c r="AM78">
        <v>197</v>
      </c>
      <c r="AN78" s="3">
        <f t="shared" si="28"/>
        <v>18.173431734317344</v>
      </c>
      <c r="AO78" t="s">
        <v>368</v>
      </c>
      <c r="AP78" s="72">
        <f>Дума_партии[[#This Row],[КОИБ]]</f>
        <v>2017</v>
      </c>
      <c r="AQ78" s="1" t="str">
        <f>IF(Дума_партии[[#This Row],[Наблюдателей]]=0,"",Дума_партии[[#This Row],[Наблюдателей]])</f>
        <v/>
      </c>
      <c r="AR78"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310.9908256880733</v>
      </c>
      <c r="AS78" s="10">
        <f>2*(Мособлдума_одномандатный_6[[#This Row],[Лазутина Лариса Евгеньевна]]-(AC$203/100)*Мособлдума_одномандатный_6[[#This Row],[Число действительных бюллетеней]])</f>
        <v>406.77599999999995</v>
      </c>
      <c r="AT78" s="10">
        <f>(Мособлдума_одномандатный_6[[#This Row],[Вброс]]+Мособлдума_одномандатный_6[[#This Row],[Перекладывание]])/2</f>
        <v>358.88341284403663</v>
      </c>
    </row>
    <row r="79" spans="2:46" x14ac:dyDescent="0.4">
      <c r="B79" t="s">
        <v>74</v>
      </c>
      <c r="C79" t="s">
        <v>366</v>
      </c>
      <c r="D79" t="s">
        <v>138</v>
      </c>
      <c r="E79" t="s">
        <v>207</v>
      </c>
      <c r="F79" s="1">
        <f t="shared" ca="1" si="17"/>
        <v>3965</v>
      </c>
      <c r="G79" s="8" t="str">
        <f>Дума_партии[[#This Row],[Местоположение]]</f>
        <v>Хлюпино</v>
      </c>
      <c r="H79" s="2" t="str">
        <f>LEFT(Мособлдума_одномандатный_6[[#This Row],[tik]],4)&amp;"."&amp;IF(ISNUMBER(VALUE(RIGHT(Мособлдума_одномандатный_6[[#This Row],[tik]]))),RIGHT(Мособлдума_одномандатный_6[[#This Row],[tik]]),"")</f>
        <v>Один.</v>
      </c>
      <c r="I79">
        <v>1190</v>
      </c>
      <c r="J79" s="8">
        <f>Мособлдума_одномандатный_6[[#This Row],[Число избирателей, внесенных в список на момент окончания голосования]]</f>
        <v>1190</v>
      </c>
      <c r="K79">
        <v>1000</v>
      </c>
      <c r="M79">
        <v>462</v>
      </c>
      <c r="N79">
        <v>238</v>
      </c>
      <c r="O79" s="3">
        <f t="shared" si="18"/>
        <v>58.823529411764703</v>
      </c>
      <c r="P79" s="3">
        <f t="shared" si="19"/>
        <v>20</v>
      </c>
      <c r="Q79">
        <v>300</v>
      </c>
      <c r="R79">
        <v>237</v>
      </c>
      <c r="S79">
        <v>377</v>
      </c>
      <c r="T79" s="1">
        <f t="shared" si="20"/>
        <v>614</v>
      </c>
      <c r="U79" s="3">
        <f t="shared" si="21"/>
        <v>38.599348534201951</v>
      </c>
      <c r="V79">
        <v>25</v>
      </c>
      <c r="W79" s="3">
        <f t="shared" si="22"/>
        <v>4.0716612377850163</v>
      </c>
      <c r="X79">
        <v>589</v>
      </c>
      <c r="Y79">
        <v>0</v>
      </c>
      <c r="Z79">
        <v>0</v>
      </c>
      <c r="AA79">
        <v>77</v>
      </c>
      <c r="AB79" s="3">
        <f t="shared" si="23"/>
        <v>12.54071661237785</v>
      </c>
      <c r="AC79">
        <v>20</v>
      </c>
      <c r="AD79" s="3">
        <f t="shared" si="24"/>
        <v>3.2573289902280131</v>
      </c>
      <c r="AE79">
        <v>19</v>
      </c>
      <c r="AF79" s="3">
        <f t="shared" si="25"/>
        <v>3.0944625407166124</v>
      </c>
      <c r="AG79">
        <v>18</v>
      </c>
      <c r="AH79" s="3">
        <f t="shared" si="26"/>
        <v>2.9315960912052117</v>
      </c>
      <c r="AI79">
        <v>326</v>
      </c>
      <c r="AJ79" s="3">
        <f t="shared" si="27"/>
        <v>53.094462540716613</v>
      </c>
      <c r="AK79">
        <v>40</v>
      </c>
      <c r="AL79" s="3">
        <f t="shared" si="16"/>
        <v>6.5146579804560263</v>
      </c>
      <c r="AM79">
        <v>89</v>
      </c>
      <c r="AN79" s="3">
        <f t="shared" si="28"/>
        <v>14.495114006514658</v>
      </c>
      <c r="AO79" t="s">
        <v>368</v>
      </c>
      <c r="AP79" s="72">
        <f>Дума_партии[[#This Row],[КОИБ]]</f>
        <v>2017</v>
      </c>
      <c r="AQ79" s="1" t="str">
        <f>IF(Дума_партии[[#This Row],[Наблюдателей]]=0,"",Дума_партии[[#This Row],[Наблюдателей]])</f>
        <v/>
      </c>
      <c r="AR79"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186.85932721712535</v>
      </c>
      <c r="AS79" s="10">
        <f>2*(Мособлдума_одномандатный_6[[#This Row],[Лазутина Лариса Евгеньевна]]-(AC$203/100)*Мособлдума_одномандатный_6[[#This Row],[Число действительных бюллетеней]])</f>
        <v>244.41199999999998</v>
      </c>
      <c r="AT79" s="10">
        <f>(Мособлдума_одномандатный_6[[#This Row],[Вброс]]+Мособлдума_одномандатный_6[[#This Row],[Перекладывание]])/2</f>
        <v>215.63566360856265</v>
      </c>
    </row>
    <row r="80" spans="2:46" x14ac:dyDescent="0.4">
      <c r="B80" t="s">
        <v>74</v>
      </c>
      <c r="C80" t="s">
        <v>366</v>
      </c>
      <c r="D80" t="s">
        <v>138</v>
      </c>
      <c r="E80" t="s">
        <v>208</v>
      </c>
      <c r="F80" s="1">
        <f t="shared" ca="1" si="17"/>
        <v>3966</v>
      </c>
      <c r="G80" s="8" t="str">
        <f>Дума_партии[[#This Row],[Местоположение]]</f>
        <v>Введенское</v>
      </c>
      <c r="H80" s="2" t="str">
        <f>LEFT(Мособлдума_одномандатный_6[[#This Row],[tik]],4)&amp;"."&amp;IF(ISNUMBER(VALUE(RIGHT(Мособлдума_одномандатный_6[[#This Row],[tik]]))),RIGHT(Мособлдума_одномандатный_6[[#This Row],[tik]]),"")</f>
        <v>Один.</v>
      </c>
      <c r="I80">
        <v>1521</v>
      </c>
      <c r="J80" s="8">
        <f>Мособлдума_одномандатный_6[[#This Row],[Число избирателей, внесенных в список на момент окончания голосования]]</f>
        <v>1521</v>
      </c>
      <c r="K80">
        <v>1300</v>
      </c>
      <c r="M80">
        <v>451</v>
      </c>
      <c r="N80">
        <v>294</v>
      </c>
      <c r="O80" s="3">
        <f t="shared" si="18"/>
        <v>48.980933596318209</v>
      </c>
      <c r="P80" s="3">
        <f t="shared" si="19"/>
        <v>19.329388560157792</v>
      </c>
      <c r="Q80">
        <v>555</v>
      </c>
      <c r="R80">
        <v>294</v>
      </c>
      <c r="S80">
        <v>451</v>
      </c>
      <c r="T80" s="1">
        <f t="shared" si="20"/>
        <v>745</v>
      </c>
      <c r="U80" s="3">
        <f t="shared" si="21"/>
        <v>39.463087248322147</v>
      </c>
      <c r="V80">
        <v>41</v>
      </c>
      <c r="W80" s="3">
        <f t="shared" si="22"/>
        <v>5.5033557046979862</v>
      </c>
      <c r="X80">
        <v>704</v>
      </c>
      <c r="Y80">
        <v>0</v>
      </c>
      <c r="Z80">
        <v>0</v>
      </c>
      <c r="AA80">
        <v>93</v>
      </c>
      <c r="AB80" s="3">
        <f t="shared" si="23"/>
        <v>12.483221476510067</v>
      </c>
      <c r="AC80">
        <v>33</v>
      </c>
      <c r="AD80" s="3">
        <f t="shared" si="24"/>
        <v>4.4295302013422821</v>
      </c>
      <c r="AE80">
        <v>26</v>
      </c>
      <c r="AF80" s="3">
        <f t="shared" si="25"/>
        <v>3.4899328859060401</v>
      </c>
      <c r="AG80">
        <v>32</v>
      </c>
      <c r="AH80" s="3">
        <f t="shared" si="26"/>
        <v>4.2953020134228188</v>
      </c>
      <c r="AI80">
        <v>365</v>
      </c>
      <c r="AJ80" s="3">
        <f t="shared" si="27"/>
        <v>48.993288590604024</v>
      </c>
      <c r="AK80">
        <v>52</v>
      </c>
      <c r="AL80" s="3">
        <f t="shared" si="16"/>
        <v>6.9798657718120802</v>
      </c>
      <c r="AM80">
        <v>103</v>
      </c>
      <c r="AN80" s="3">
        <f t="shared" si="28"/>
        <v>13.825503355704697</v>
      </c>
      <c r="AO80" t="s">
        <v>368</v>
      </c>
      <c r="AP80" s="72">
        <f>Дума_партии[[#This Row],[КОИБ]]</f>
        <v>2017</v>
      </c>
      <c r="AQ80" s="1" t="str">
        <f>IF(Дума_партии[[#This Row],[Наблюдателей]]=0,"",Дума_партии[[#This Row],[Наблюдателей]])</f>
        <v/>
      </c>
      <c r="AR80"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185.65137614678895</v>
      </c>
      <c r="AS80" s="10">
        <f>2*(Мособлдума_одномандатный_6[[#This Row],[Лазутина Лариса Евгеньевна]]-(AC$203/100)*Мособлдума_одномандатный_6[[#This Row],[Число действительных бюллетеней]])</f>
        <v>242.83199999999994</v>
      </c>
      <c r="AT80" s="10">
        <f>(Мособлдума_одномандатный_6[[#This Row],[Вброс]]+Мособлдума_одномандатный_6[[#This Row],[Перекладывание]])/2</f>
        <v>214.24168807339444</v>
      </c>
    </row>
    <row r="81" spans="2:46" x14ac:dyDescent="0.4">
      <c r="B81" t="s">
        <v>74</v>
      </c>
      <c r="C81" t="s">
        <v>366</v>
      </c>
      <c r="D81" t="s">
        <v>138</v>
      </c>
      <c r="E81" t="s">
        <v>209</v>
      </c>
      <c r="F81" s="1">
        <f t="shared" ca="1" si="17"/>
        <v>3968</v>
      </c>
      <c r="G81" s="8" t="str">
        <f>Дума_партии[[#This Row],[Местоположение]]</f>
        <v>Гигирево</v>
      </c>
      <c r="H81" s="2" t="str">
        <f>LEFT(Мособлдума_одномандатный_6[[#This Row],[tik]],4)&amp;"."&amp;IF(ISNUMBER(VALUE(RIGHT(Мособлдума_одномандатный_6[[#This Row],[tik]]))),RIGHT(Мособлдума_одномандатный_6[[#This Row],[tik]]),"")</f>
        <v>Один.</v>
      </c>
      <c r="I81">
        <v>710</v>
      </c>
      <c r="J81" s="8">
        <f>Мособлдума_одномандатный_6[[#This Row],[Число избирателей, внесенных в список на момент окончания голосования]]</f>
        <v>710</v>
      </c>
      <c r="K81">
        <v>650</v>
      </c>
      <c r="M81">
        <v>190</v>
      </c>
      <c r="N81">
        <v>97</v>
      </c>
      <c r="O81" s="3">
        <f t="shared" si="18"/>
        <v>40.422535211267608</v>
      </c>
      <c r="P81" s="3">
        <f t="shared" si="19"/>
        <v>13.661971830985916</v>
      </c>
      <c r="Q81">
        <v>363</v>
      </c>
      <c r="R81">
        <v>97</v>
      </c>
      <c r="S81">
        <v>189</v>
      </c>
      <c r="T81" s="1">
        <f t="shared" si="20"/>
        <v>286</v>
      </c>
      <c r="U81" s="3">
        <f t="shared" si="21"/>
        <v>33.916083916083913</v>
      </c>
      <c r="V81">
        <v>12</v>
      </c>
      <c r="W81" s="3">
        <f t="shared" si="22"/>
        <v>4.1958041958041958</v>
      </c>
      <c r="X81">
        <v>274</v>
      </c>
      <c r="Y81">
        <v>0</v>
      </c>
      <c r="Z81">
        <v>0</v>
      </c>
      <c r="AA81">
        <v>51</v>
      </c>
      <c r="AB81" s="3">
        <f t="shared" si="23"/>
        <v>17.832167832167833</v>
      </c>
      <c r="AC81">
        <v>14</v>
      </c>
      <c r="AD81" s="3">
        <f t="shared" si="24"/>
        <v>4.895104895104895</v>
      </c>
      <c r="AE81">
        <v>10</v>
      </c>
      <c r="AF81" s="3">
        <f t="shared" si="25"/>
        <v>3.4965034965034967</v>
      </c>
      <c r="AG81">
        <v>5</v>
      </c>
      <c r="AH81" s="3">
        <f t="shared" si="26"/>
        <v>1.7482517482517483</v>
      </c>
      <c r="AI81">
        <v>116</v>
      </c>
      <c r="AJ81" s="3">
        <f t="shared" si="27"/>
        <v>40.55944055944056</v>
      </c>
      <c r="AK81">
        <v>27</v>
      </c>
      <c r="AL81" s="3">
        <f t="shared" si="16"/>
        <v>9.44055944055944</v>
      </c>
      <c r="AM81">
        <v>51</v>
      </c>
      <c r="AN81" s="3">
        <f t="shared" si="28"/>
        <v>17.832167832167833</v>
      </c>
      <c r="AO81" t="s">
        <v>368</v>
      </c>
      <c r="AP81" s="72">
        <f>Дума_партии[[#This Row],[КОИБ]]</f>
        <v>2017</v>
      </c>
      <c r="AQ81" s="1" t="str">
        <f>IF(Дума_партии[[#This Row],[Наблюдателей]]=0,"",Дума_партии[[#This Row],[Наблюдателей]])</f>
        <v/>
      </c>
      <c r="AR81"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32.40978593272169</v>
      </c>
      <c r="AS81" s="10">
        <f>2*(Мособлдума_одномандатный_6[[#This Row],[Лазутина Лариса Евгеньевна]]-(AC$203/100)*Мособлдума_одномандатный_6[[#This Row],[Число действительных бюллетеней]])</f>
        <v>42.391999999999996</v>
      </c>
      <c r="AT81" s="10">
        <f>(Мособлдума_одномандатный_6[[#This Row],[Вброс]]+Мособлдума_одномандатный_6[[#This Row],[Перекладывание]])/2</f>
        <v>37.400892966360843</v>
      </c>
    </row>
    <row r="82" spans="2:46" x14ac:dyDescent="0.4">
      <c r="B82" t="s">
        <v>74</v>
      </c>
      <c r="C82" t="s">
        <v>366</v>
      </c>
      <c r="D82" t="s">
        <v>138</v>
      </c>
      <c r="E82" t="s">
        <v>210</v>
      </c>
      <c r="F82" s="1">
        <f t="shared" ca="1" si="17"/>
        <v>3969</v>
      </c>
      <c r="G82" s="8" t="str">
        <f>Дума_партии[[#This Row],[Местоположение]]</f>
        <v>Новый Городок</v>
      </c>
      <c r="H82" s="2" t="str">
        <f>LEFT(Мособлдума_одномандатный_6[[#This Row],[tik]],4)&amp;"."&amp;IF(ISNUMBER(VALUE(RIGHT(Мособлдума_одномандатный_6[[#This Row],[tik]]))),RIGHT(Мособлдума_одномандатный_6[[#This Row],[tik]]),"")</f>
        <v>Один.</v>
      </c>
      <c r="I82">
        <v>1525</v>
      </c>
      <c r="J82" s="8">
        <f>Мособлдума_одномандатный_6[[#This Row],[Число избирателей, внесенных в список на момент окончания голосования]]</f>
        <v>1525</v>
      </c>
      <c r="K82">
        <v>1300</v>
      </c>
      <c r="M82">
        <v>680</v>
      </c>
      <c r="N82">
        <v>95</v>
      </c>
      <c r="O82" s="3">
        <f t="shared" si="18"/>
        <v>50.819672131147541</v>
      </c>
      <c r="P82" s="3">
        <f t="shared" si="19"/>
        <v>6.2295081967213113</v>
      </c>
      <c r="Q82">
        <v>525</v>
      </c>
      <c r="R82">
        <v>95</v>
      </c>
      <c r="S82">
        <v>680</v>
      </c>
      <c r="T82" s="1">
        <f t="shared" si="20"/>
        <v>775</v>
      </c>
      <c r="U82" s="3">
        <f t="shared" si="21"/>
        <v>12.258064516129032</v>
      </c>
      <c r="V82">
        <v>51</v>
      </c>
      <c r="W82" s="3">
        <f t="shared" si="22"/>
        <v>6.580645161290323</v>
      </c>
      <c r="X82">
        <v>724</v>
      </c>
      <c r="Y82">
        <v>0</v>
      </c>
      <c r="Z82">
        <v>0</v>
      </c>
      <c r="AA82">
        <v>138</v>
      </c>
      <c r="AB82" s="3">
        <f t="shared" si="23"/>
        <v>17.806451612903224</v>
      </c>
      <c r="AC82">
        <v>35</v>
      </c>
      <c r="AD82" s="3">
        <f t="shared" si="24"/>
        <v>4.5161290322580649</v>
      </c>
      <c r="AE82">
        <v>25</v>
      </c>
      <c r="AF82" s="3">
        <f t="shared" si="25"/>
        <v>3.225806451612903</v>
      </c>
      <c r="AG82">
        <v>22</v>
      </c>
      <c r="AH82" s="3">
        <f t="shared" si="26"/>
        <v>2.838709677419355</v>
      </c>
      <c r="AI82">
        <v>294</v>
      </c>
      <c r="AJ82" s="3">
        <f t="shared" si="27"/>
        <v>37.935483870967744</v>
      </c>
      <c r="AK82">
        <v>63</v>
      </c>
      <c r="AL82" s="3">
        <f t="shared" si="16"/>
        <v>8.129032258064516</v>
      </c>
      <c r="AM82">
        <v>147</v>
      </c>
      <c r="AN82" s="3">
        <f t="shared" si="28"/>
        <v>18.967741935483872</v>
      </c>
      <c r="AO82" t="s">
        <v>368</v>
      </c>
      <c r="AP82" s="72">
        <f>Дума_партии[[#This Row],[КОИБ]]</f>
        <v>2017</v>
      </c>
      <c r="AQ82" s="1" t="str">
        <f>IF(Дума_партии[[#This Row],[Наблюдателей]]=0,"",Дума_партии[[#This Row],[Наблюдателей]])</f>
        <v/>
      </c>
      <c r="AR82"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66.507645259938784</v>
      </c>
      <c r="AS82" s="10">
        <f>2*(Мособлдума_одномандатный_6[[#This Row],[Лазутина Лариса Евгеньевна]]-(AC$203/100)*Мособлдума_одномандатный_6[[#This Row],[Число действительных бюллетеней]])</f>
        <v>86.991999999999962</v>
      </c>
      <c r="AT82" s="10">
        <f>(Мособлдума_одномандатный_6[[#This Row],[Вброс]]+Мособлдума_одномандатный_6[[#This Row],[Перекладывание]])/2</f>
        <v>76.749822629969373</v>
      </c>
    </row>
    <row r="83" spans="2:46" x14ac:dyDescent="0.4">
      <c r="B83" t="s">
        <v>74</v>
      </c>
      <c r="C83" t="s">
        <v>366</v>
      </c>
      <c r="D83" t="s">
        <v>138</v>
      </c>
      <c r="E83" t="s">
        <v>211</v>
      </c>
      <c r="F83" s="1">
        <f t="shared" ca="1" si="17"/>
        <v>3971</v>
      </c>
      <c r="G83" s="8" t="str">
        <f>Дума_партии[[#This Row],[Местоположение]]</f>
        <v>Новый Городок</v>
      </c>
      <c r="H83" s="2" t="str">
        <f>LEFT(Мособлдума_одномандатный_6[[#This Row],[tik]],4)&amp;"."&amp;IF(ISNUMBER(VALUE(RIGHT(Мособлдума_одномандатный_6[[#This Row],[tik]]))),RIGHT(Мособлдума_одномандатный_6[[#This Row],[tik]]),"")</f>
        <v>Один.</v>
      </c>
      <c r="I83">
        <v>1495</v>
      </c>
      <c r="J83" s="8">
        <f>Мособлдума_одномандатный_6[[#This Row],[Число избирателей, внесенных в список на момент окончания голосования]]</f>
        <v>1495</v>
      </c>
      <c r="K83">
        <v>1300</v>
      </c>
      <c r="M83">
        <v>577</v>
      </c>
      <c r="N83">
        <v>15</v>
      </c>
      <c r="O83" s="3">
        <f t="shared" si="18"/>
        <v>39.598662207357862</v>
      </c>
      <c r="P83" s="3">
        <f t="shared" si="19"/>
        <v>1.0033444816053512</v>
      </c>
      <c r="Q83">
        <v>708</v>
      </c>
      <c r="R83">
        <v>15</v>
      </c>
      <c r="S83">
        <v>577</v>
      </c>
      <c r="T83" s="1">
        <f t="shared" si="20"/>
        <v>592</v>
      </c>
      <c r="U83" s="3">
        <f t="shared" si="21"/>
        <v>2.5337837837837838</v>
      </c>
      <c r="V83">
        <v>43</v>
      </c>
      <c r="W83" s="3">
        <f t="shared" si="22"/>
        <v>7.2635135135135132</v>
      </c>
      <c r="X83">
        <v>549</v>
      </c>
      <c r="Y83">
        <v>0</v>
      </c>
      <c r="Z83">
        <v>0</v>
      </c>
      <c r="AA83">
        <v>106</v>
      </c>
      <c r="AB83" s="3">
        <f t="shared" si="23"/>
        <v>17.905405405405407</v>
      </c>
      <c r="AC83">
        <v>33</v>
      </c>
      <c r="AD83" s="3">
        <f t="shared" si="24"/>
        <v>5.5743243243243246</v>
      </c>
      <c r="AE83">
        <v>16</v>
      </c>
      <c r="AF83" s="3">
        <f t="shared" si="25"/>
        <v>2.7027027027027026</v>
      </c>
      <c r="AG83">
        <v>19</v>
      </c>
      <c r="AH83" s="3">
        <f t="shared" si="26"/>
        <v>3.2094594594594597</v>
      </c>
      <c r="AI83">
        <v>175</v>
      </c>
      <c r="AJ83" s="3">
        <f t="shared" si="27"/>
        <v>29.560810810810811</v>
      </c>
      <c r="AK83">
        <v>53</v>
      </c>
      <c r="AL83" s="3">
        <f t="shared" si="16"/>
        <v>8.9527027027027035</v>
      </c>
      <c r="AM83">
        <v>147</v>
      </c>
      <c r="AN83" s="3">
        <f t="shared" si="28"/>
        <v>24.831081081081081</v>
      </c>
      <c r="AO83" t="s">
        <v>368</v>
      </c>
      <c r="AP83" s="72">
        <f>Дума_партии[[#This Row],[КОИБ]]</f>
        <v>2017</v>
      </c>
      <c r="AQ83" s="1" t="str">
        <f>IF(Дума_партии[[#This Row],[Наблюдателей]]=0,"",Дума_партии[[#This Row],[Наблюдателей]])</f>
        <v/>
      </c>
      <c r="AR83"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-22.865443425076506</v>
      </c>
      <c r="AS83" s="10">
        <f>2*(Мособлдума_одномандатный_6[[#This Row],[Лазутина Лариса Евгеньевна]]-(AC$203/100)*Мособлдума_одномандатный_6[[#This Row],[Число действительных бюллетеней]])</f>
        <v>-29.908000000000015</v>
      </c>
      <c r="AT83" s="10">
        <f>(Мособлдума_одномандатный_6[[#This Row],[Вброс]]+Мособлдума_одномандатный_6[[#This Row],[Перекладывание]])/2</f>
        <v>-26.386721712538261</v>
      </c>
    </row>
    <row r="84" spans="2:46" x14ac:dyDescent="0.4">
      <c r="B84" t="s">
        <v>74</v>
      </c>
      <c r="C84" t="s">
        <v>366</v>
      </c>
      <c r="D84" t="s">
        <v>138</v>
      </c>
      <c r="E84" t="s">
        <v>212</v>
      </c>
      <c r="F84" s="1">
        <f t="shared" ca="1" si="17"/>
        <v>3972</v>
      </c>
      <c r="G84" s="8" t="str">
        <f>Дума_партии[[#This Row],[Местоположение]]</f>
        <v>Новый Городок</v>
      </c>
      <c r="H84" s="2" t="str">
        <f>LEFT(Мособлдума_одномандатный_6[[#This Row],[tik]],4)&amp;"."&amp;IF(ISNUMBER(VALUE(RIGHT(Мособлдума_одномандатный_6[[#This Row],[tik]]))),RIGHT(Мособлдума_одномандатный_6[[#This Row],[tik]]),"")</f>
        <v>Один.</v>
      </c>
      <c r="I84">
        <v>1808</v>
      </c>
      <c r="J84" s="8">
        <f>Мособлдума_одномандатный_6[[#This Row],[Число избирателей, внесенных в список на момент окончания голосования]]</f>
        <v>1808</v>
      </c>
      <c r="K84">
        <v>1500</v>
      </c>
      <c r="M84">
        <v>831</v>
      </c>
      <c r="N84">
        <v>82</v>
      </c>
      <c r="O84" s="3">
        <f t="shared" si="18"/>
        <v>50.497787610619469</v>
      </c>
      <c r="P84" s="3">
        <f t="shared" si="19"/>
        <v>4.5353982300884956</v>
      </c>
      <c r="Q84">
        <v>587</v>
      </c>
      <c r="R84">
        <v>82</v>
      </c>
      <c r="S84">
        <v>830</v>
      </c>
      <c r="T84" s="1">
        <f t="shared" si="20"/>
        <v>912</v>
      </c>
      <c r="U84" s="3">
        <f t="shared" si="21"/>
        <v>8.9912280701754383</v>
      </c>
      <c r="V84">
        <v>56</v>
      </c>
      <c r="W84" s="3">
        <f t="shared" si="22"/>
        <v>6.1403508771929829</v>
      </c>
      <c r="X84">
        <v>856</v>
      </c>
      <c r="Y84">
        <v>0</v>
      </c>
      <c r="Z84">
        <v>0</v>
      </c>
      <c r="AA84">
        <v>152</v>
      </c>
      <c r="AB84" s="3">
        <f t="shared" si="23"/>
        <v>16.666666666666668</v>
      </c>
      <c r="AC84">
        <v>68</v>
      </c>
      <c r="AD84" s="3">
        <f t="shared" si="24"/>
        <v>7.4561403508771926</v>
      </c>
      <c r="AE84">
        <v>59</v>
      </c>
      <c r="AF84" s="3">
        <f t="shared" si="25"/>
        <v>6.4692982456140351</v>
      </c>
      <c r="AG84">
        <v>45</v>
      </c>
      <c r="AH84" s="3">
        <f t="shared" si="26"/>
        <v>4.9342105263157894</v>
      </c>
      <c r="AI84">
        <v>271</v>
      </c>
      <c r="AJ84" s="3">
        <f t="shared" si="27"/>
        <v>29.714912280701753</v>
      </c>
      <c r="AK84">
        <v>106</v>
      </c>
      <c r="AL84" s="3">
        <f t="shared" si="16"/>
        <v>11.62280701754386</v>
      </c>
      <c r="AM84">
        <v>155</v>
      </c>
      <c r="AN84" s="3">
        <f t="shared" si="28"/>
        <v>16.995614035087719</v>
      </c>
      <c r="AO84" t="s">
        <v>368</v>
      </c>
      <c r="AP84" s="72">
        <f>Дума_партии[[#This Row],[КОИБ]]</f>
        <v>2017</v>
      </c>
      <c r="AQ84" s="1" t="str">
        <f>IF(Дума_партии[[#This Row],[Наблюдателей]]=0,"",Дума_партии[[#This Row],[Наблюдателей]])</f>
        <v/>
      </c>
      <c r="AR84"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-38.495412844036764</v>
      </c>
      <c r="AS84" s="10">
        <f>2*(Мособлдума_одномандатный_6[[#This Row],[Лазутина Лариса Евгеньевна]]-(AC$203/100)*Мособлдума_одномандатный_6[[#This Row],[Число действительных бюллетеней]])</f>
        <v>-50.352000000000089</v>
      </c>
      <c r="AT84" s="10">
        <f>(Мособлдума_одномандатный_6[[#This Row],[Вброс]]+Мособлдума_одномандатный_6[[#This Row],[Перекладывание]])/2</f>
        <v>-44.423706422018427</v>
      </c>
    </row>
    <row r="85" spans="2:46" x14ac:dyDescent="0.4">
      <c r="B85" t="s">
        <v>74</v>
      </c>
      <c r="C85" t="s">
        <v>366</v>
      </c>
      <c r="D85" t="s">
        <v>138</v>
      </c>
      <c r="E85" t="s">
        <v>213</v>
      </c>
      <c r="F85" s="1">
        <f t="shared" ca="1" si="17"/>
        <v>3974</v>
      </c>
      <c r="G85" s="8" t="str">
        <f>Дума_партии[[#This Row],[Местоположение]]</f>
        <v>пос. Санатория им. Герцена</v>
      </c>
      <c r="H85" s="2" t="str">
        <f>LEFT(Мособлдума_одномандатный_6[[#This Row],[tik]],4)&amp;"."&amp;IF(ISNUMBER(VALUE(RIGHT(Мособлдума_одномандатный_6[[#This Row],[tik]]))),RIGHT(Мособлдума_одномандатный_6[[#This Row],[tik]]),"")</f>
        <v>Один.</v>
      </c>
      <c r="I85">
        <v>2012</v>
      </c>
      <c r="J85" s="8">
        <f>Мособлдума_одномандатный_6[[#This Row],[Число избирателей, внесенных в список на момент окончания голосования]]</f>
        <v>2012</v>
      </c>
      <c r="K85">
        <v>1500</v>
      </c>
      <c r="M85">
        <v>775</v>
      </c>
      <c r="N85">
        <v>115</v>
      </c>
      <c r="O85" s="3">
        <f t="shared" si="18"/>
        <v>44.234592445328033</v>
      </c>
      <c r="P85" s="3">
        <f t="shared" si="19"/>
        <v>5.7157057654075549</v>
      </c>
      <c r="Q85">
        <v>610</v>
      </c>
      <c r="R85">
        <v>115</v>
      </c>
      <c r="S85">
        <v>755</v>
      </c>
      <c r="T85" s="1">
        <f t="shared" si="20"/>
        <v>870</v>
      </c>
      <c r="U85" s="3">
        <f t="shared" si="21"/>
        <v>13.218390804597702</v>
      </c>
      <c r="V85">
        <v>75</v>
      </c>
      <c r="W85" s="3">
        <f t="shared" si="22"/>
        <v>8.6206896551724146</v>
      </c>
      <c r="X85">
        <v>795</v>
      </c>
      <c r="Y85">
        <v>0</v>
      </c>
      <c r="Z85">
        <v>0</v>
      </c>
      <c r="AA85">
        <v>191</v>
      </c>
      <c r="AB85" s="3">
        <f t="shared" si="23"/>
        <v>21.954022988505749</v>
      </c>
      <c r="AC85">
        <v>44</v>
      </c>
      <c r="AD85" s="3">
        <f t="shared" si="24"/>
        <v>5.0574712643678161</v>
      </c>
      <c r="AE85">
        <v>32</v>
      </c>
      <c r="AF85" s="3">
        <f t="shared" si="25"/>
        <v>3.6781609195402298</v>
      </c>
      <c r="AG85">
        <v>28</v>
      </c>
      <c r="AH85" s="3">
        <f t="shared" si="26"/>
        <v>3.2183908045977012</v>
      </c>
      <c r="AI85">
        <v>229</v>
      </c>
      <c r="AJ85" s="3">
        <f t="shared" si="27"/>
        <v>26.321839080459771</v>
      </c>
      <c r="AK85">
        <v>86</v>
      </c>
      <c r="AL85" s="3">
        <f t="shared" si="16"/>
        <v>9.8850574712643677</v>
      </c>
      <c r="AM85">
        <v>185</v>
      </c>
      <c r="AN85" s="3">
        <f t="shared" si="28"/>
        <v>21.264367816091955</v>
      </c>
      <c r="AO85" t="s">
        <v>368</v>
      </c>
      <c r="AP85" s="72">
        <f>Дума_партии[[#This Row],[КОИБ]]</f>
        <v>2017</v>
      </c>
      <c r="AQ85" s="1" t="str">
        <f>IF(Дума_партии[[#This Row],[Наблюдателей]]=0,"",Дума_партии[[#This Row],[Наблюдателей]])</f>
        <v/>
      </c>
      <c r="AR85"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-70.443425076452684</v>
      </c>
      <c r="AS85" s="10">
        <f>2*(Мособлдума_одномандатный_6[[#This Row],[Лазутина Лариса Евгеньевна]]-(AC$203/100)*Мособлдума_одномандатный_6[[#This Row],[Число действительных бюллетеней]])</f>
        <v>-92.1400000000001</v>
      </c>
      <c r="AT85" s="10">
        <f>(Мособлдума_одномандатный_6[[#This Row],[Вброс]]+Мособлдума_одномандатный_6[[#This Row],[Перекладывание]])/2</f>
        <v>-81.291712538226392</v>
      </c>
    </row>
    <row r="86" spans="2:46" x14ac:dyDescent="0.4">
      <c r="B86" t="s">
        <v>74</v>
      </c>
      <c r="C86" t="s">
        <v>366</v>
      </c>
      <c r="D86" t="s">
        <v>138</v>
      </c>
      <c r="E86" t="s">
        <v>214</v>
      </c>
      <c r="F86" s="1">
        <f t="shared" ca="1" si="17"/>
        <v>3975</v>
      </c>
      <c r="G86" s="8" t="str">
        <f>Дума_партии[[#This Row],[Местоположение]]</f>
        <v>Старый Городок</v>
      </c>
      <c r="H86" s="2" t="str">
        <f>LEFT(Мособлдума_одномандатный_6[[#This Row],[tik]],4)&amp;"."&amp;IF(ISNUMBER(VALUE(RIGHT(Мособлдума_одномандатный_6[[#This Row],[tik]]))),RIGHT(Мособлдума_одномандатный_6[[#This Row],[tik]]),"")</f>
        <v>Один.</v>
      </c>
      <c r="I86">
        <v>1681</v>
      </c>
      <c r="J86" s="8">
        <f>Мособлдума_одномандатный_6[[#This Row],[Число избирателей, внесенных в список на момент окончания голосования]]</f>
        <v>1681</v>
      </c>
      <c r="K86">
        <v>1500</v>
      </c>
      <c r="M86">
        <v>542</v>
      </c>
      <c r="N86">
        <v>131</v>
      </c>
      <c r="O86" s="3">
        <f t="shared" si="18"/>
        <v>40.035693039857229</v>
      </c>
      <c r="P86" s="3">
        <f t="shared" si="19"/>
        <v>7.7929803688280783</v>
      </c>
      <c r="Q86">
        <v>827</v>
      </c>
      <c r="R86">
        <v>131</v>
      </c>
      <c r="S86">
        <v>538</v>
      </c>
      <c r="T86" s="1">
        <f t="shared" si="20"/>
        <v>669</v>
      </c>
      <c r="U86" s="3">
        <f t="shared" si="21"/>
        <v>19.581464872944693</v>
      </c>
      <c r="V86">
        <v>34</v>
      </c>
      <c r="W86" s="3">
        <f t="shared" si="22"/>
        <v>5.0822122571001493</v>
      </c>
      <c r="X86">
        <v>635</v>
      </c>
      <c r="Y86">
        <v>0</v>
      </c>
      <c r="Z86">
        <v>0</v>
      </c>
      <c r="AA86">
        <v>140</v>
      </c>
      <c r="AB86" s="3">
        <f t="shared" si="23"/>
        <v>20.92675635276532</v>
      </c>
      <c r="AC86">
        <v>43</v>
      </c>
      <c r="AD86" s="3">
        <f t="shared" si="24"/>
        <v>6.4275037369207775</v>
      </c>
      <c r="AE86">
        <v>21</v>
      </c>
      <c r="AF86" s="3">
        <f t="shared" si="25"/>
        <v>3.1390134529147984</v>
      </c>
      <c r="AG86">
        <v>14</v>
      </c>
      <c r="AH86" s="3">
        <f t="shared" si="26"/>
        <v>2.0926756352765321</v>
      </c>
      <c r="AI86">
        <v>236</v>
      </c>
      <c r="AJ86" s="3">
        <f t="shared" si="27"/>
        <v>35.276532137518686</v>
      </c>
      <c r="AK86">
        <v>54</v>
      </c>
      <c r="AL86" s="3">
        <f t="shared" si="16"/>
        <v>8.071748878923767</v>
      </c>
      <c r="AM86">
        <v>127</v>
      </c>
      <c r="AN86" s="3">
        <f t="shared" si="28"/>
        <v>18.98355754857997</v>
      </c>
      <c r="AO86" t="s">
        <v>368</v>
      </c>
      <c r="AP86" s="72">
        <f>Дума_партии[[#This Row],[КОИБ]]</f>
        <v>2017</v>
      </c>
      <c r="AQ86" s="1" t="str">
        <f>IF(Дума_партии[[#This Row],[Наблюдателей]]=0,"",Дума_партии[[#This Row],[Наблюдателей]])</f>
        <v/>
      </c>
      <c r="AR86"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24.908256880733887</v>
      </c>
      <c r="AS86" s="10">
        <f>2*(Мособлдума_одномандатный_6[[#This Row],[Лазутина Лариса Евгеньевна]]-(AC$203/100)*Мособлдума_одномандатный_6[[#This Row],[Число действительных бюллетеней]])</f>
        <v>32.579999999999984</v>
      </c>
      <c r="AT86" s="10">
        <f>(Мособлдума_одномандатный_6[[#This Row],[Вброс]]+Мособлдума_одномандатный_6[[#This Row],[Перекладывание]])/2</f>
        <v>28.744128440366936</v>
      </c>
    </row>
    <row r="87" spans="2:46" x14ac:dyDescent="0.4">
      <c r="B87" t="s">
        <v>74</v>
      </c>
      <c r="C87" t="s">
        <v>366</v>
      </c>
      <c r="D87" t="s">
        <v>138</v>
      </c>
      <c r="E87" t="s">
        <v>215</v>
      </c>
      <c r="F87" s="1">
        <f t="shared" ca="1" si="17"/>
        <v>3976</v>
      </c>
      <c r="G87" s="8" t="str">
        <f>Дума_партии[[#This Row],[Местоположение]]</f>
        <v>Старый Городок</v>
      </c>
      <c r="H87" s="2" t="str">
        <f>LEFT(Мособлдума_одномандатный_6[[#This Row],[tik]],4)&amp;"."&amp;IF(ISNUMBER(VALUE(RIGHT(Мособлдума_одномандатный_6[[#This Row],[tik]]))),RIGHT(Мособлдума_одномандатный_6[[#This Row],[tik]]),"")</f>
        <v>Один.</v>
      </c>
      <c r="I87">
        <v>1685</v>
      </c>
      <c r="J87" s="8">
        <f>Мособлдума_одномандатный_6[[#This Row],[Число избирателей, внесенных в список на момент окончания голосования]]</f>
        <v>1685</v>
      </c>
      <c r="K87">
        <v>1500</v>
      </c>
      <c r="M87">
        <v>584</v>
      </c>
      <c r="N87">
        <v>61</v>
      </c>
      <c r="O87" s="3">
        <f t="shared" si="18"/>
        <v>38.27893175074184</v>
      </c>
      <c r="P87" s="3">
        <f t="shared" si="19"/>
        <v>3.6201780415430269</v>
      </c>
      <c r="Q87">
        <v>855</v>
      </c>
      <c r="R87">
        <v>61</v>
      </c>
      <c r="S87">
        <v>584</v>
      </c>
      <c r="T87" s="1">
        <f t="shared" si="20"/>
        <v>645</v>
      </c>
      <c r="U87" s="3">
        <f t="shared" si="21"/>
        <v>9.4573643410852721</v>
      </c>
      <c r="V87">
        <v>27</v>
      </c>
      <c r="W87" s="3">
        <f t="shared" si="22"/>
        <v>4.1860465116279073</v>
      </c>
      <c r="X87">
        <v>618</v>
      </c>
      <c r="Y87">
        <v>0</v>
      </c>
      <c r="Z87">
        <v>0</v>
      </c>
      <c r="AA87">
        <v>138</v>
      </c>
      <c r="AB87" s="3">
        <f t="shared" si="23"/>
        <v>21.395348837209301</v>
      </c>
      <c r="AC87">
        <v>34</v>
      </c>
      <c r="AD87" s="3">
        <f t="shared" si="24"/>
        <v>5.2713178294573639</v>
      </c>
      <c r="AE87">
        <v>15</v>
      </c>
      <c r="AF87" s="3">
        <f t="shared" si="25"/>
        <v>2.3255813953488373</v>
      </c>
      <c r="AG87">
        <v>25</v>
      </c>
      <c r="AH87" s="3">
        <f t="shared" si="26"/>
        <v>3.8759689922480618</v>
      </c>
      <c r="AI87">
        <v>196</v>
      </c>
      <c r="AJ87" s="3">
        <f t="shared" si="27"/>
        <v>30.387596899224807</v>
      </c>
      <c r="AK87">
        <v>54</v>
      </c>
      <c r="AL87" s="3">
        <f t="shared" ref="AL87:AL123" si="29">100*AK87/$T87</f>
        <v>8.3720930232558146</v>
      </c>
      <c r="AM87">
        <v>156</v>
      </c>
      <c r="AN87" s="3">
        <f t="shared" si="28"/>
        <v>24.186046511627907</v>
      </c>
      <c r="AO87" t="s">
        <v>368</v>
      </c>
      <c r="AP87" s="72">
        <f>Дума_партии[[#This Row],[КОИБ]]</f>
        <v>2017</v>
      </c>
      <c r="AQ87" s="1" t="str">
        <f>IF(Дума_партии[[#This Row],[Наблюдателей]]=0,"",Дума_партии[[#This Row],[Наблюдателей]])</f>
        <v/>
      </c>
      <c r="AR87"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-27.259938837920544</v>
      </c>
      <c r="AS87" s="10">
        <f>2*(Мособлдума_одномандатный_6[[#This Row],[Лазутина Лариса Евгеньевна]]-(AC$203/100)*Мособлдума_одномандатный_6[[#This Row],[Число действительных бюллетеней]])</f>
        <v>-35.656000000000063</v>
      </c>
      <c r="AT87" s="10">
        <f>(Мособлдума_одномандатный_6[[#This Row],[Вброс]]+Мособлдума_одномандатный_6[[#This Row],[Перекладывание]])/2</f>
        <v>-31.457969418960303</v>
      </c>
    </row>
    <row r="88" spans="2:46" x14ac:dyDescent="0.4">
      <c r="B88" t="s">
        <v>74</v>
      </c>
      <c r="C88" t="s">
        <v>366</v>
      </c>
      <c r="D88" t="s">
        <v>138</v>
      </c>
      <c r="E88" t="s">
        <v>216</v>
      </c>
      <c r="F88" s="1">
        <f t="shared" ref="F88:F124" ca="1" si="30">SUMPRODUCT(MID(0&amp;E88, LARGE(INDEX(ISNUMBER(--MID(E88, ROW(INDIRECT("1:"&amp;LEN(E88))), 1)) * ROW(INDIRECT("1:"&amp;LEN(E88))), 0), ROW(INDIRECT("1:"&amp;LEN(E88))))+1, 1) * 10^ROW(INDIRECT("1:"&amp;LEN(E88)))/10)</f>
        <v>3977</v>
      </c>
      <c r="G88" s="8" t="str">
        <f>Дума_партии[[#This Row],[Местоположение]]</f>
        <v>Старый Городок</v>
      </c>
      <c r="H88" s="2" t="str">
        <f>LEFT(Мособлдума_одномандатный_6[[#This Row],[tik]],4)&amp;"."&amp;IF(ISNUMBER(VALUE(RIGHT(Мособлдума_одномандатный_6[[#This Row],[tik]]))),RIGHT(Мособлдума_одномандатный_6[[#This Row],[tik]]),"")</f>
        <v>Один.</v>
      </c>
      <c r="I88">
        <v>1529</v>
      </c>
      <c r="J88" s="8">
        <f>Мособлдума_одномандатный_6[[#This Row],[Число избирателей, внесенных в список на момент окончания голосования]]</f>
        <v>1529</v>
      </c>
      <c r="K88">
        <v>1300</v>
      </c>
      <c r="M88">
        <v>558</v>
      </c>
      <c r="N88">
        <v>106</v>
      </c>
      <c r="O88" s="3">
        <f t="shared" ref="O88:O124" si="31">100*(M88+N88)/I88</f>
        <v>43.427076520601702</v>
      </c>
      <c r="P88" s="3">
        <f t="shared" ref="P88:P124" si="32">100*N88/I88</f>
        <v>6.9326357096141269</v>
      </c>
      <c r="Q88">
        <v>636</v>
      </c>
      <c r="R88">
        <v>106</v>
      </c>
      <c r="S88">
        <v>558</v>
      </c>
      <c r="T88" s="1">
        <f t="shared" ref="T88:T124" si="33">R88+S88</f>
        <v>664</v>
      </c>
      <c r="U88" s="3">
        <f t="shared" ref="U88:U124" si="34">100*R88/T88</f>
        <v>15.963855421686747</v>
      </c>
      <c r="V88">
        <v>47</v>
      </c>
      <c r="W88" s="3">
        <f t="shared" ref="W88:W124" si="35">100*V88/T88</f>
        <v>7.0783132530120483</v>
      </c>
      <c r="X88">
        <v>617</v>
      </c>
      <c r="Y88">
        <v>0</v>
      </c>
      <c r="Z88">
        <v>0</v>
      </c>
      <c r="AA88">
        <v>123</v>
      </c>
      <c r="AB88" s="3">
        <f t="shared" ref="AB88:AB124" si="36">100*AA88/$T88</f>
        <v>18.524096385542169</v>
      </c>
      <c r="AC88">
        <v>23</v>
      </c>
      <c r="AD88" s="3">
        <f t="shared" ref="AD88:AD124" si="37">100*AC88/$T88</f>
        <v>3.463855421686747</v>
      </c>
      <c r="AE88">
        <v>26</v>
      </c>
      <c r="AF88" s="3">
        <f t="shared" ref="AF88:AF124" si="38">100*AE88/$T88</f>
        <v>3.9156626506024095</v>
      </c>
      <c r="AG88">
        <v>15</v>
      </c>
      <c r="AH88" s="3">
        <f t="shared" ref="AH88:AH124" si="39">100*AG88/$T88</f>
        <v>2.2590361445783134</v>
      </c>
      <c r="AI88">
        <v>247</v>
      </c>
      <c r="AJ88" s="3">
        <f t="shared" ref="AJ88:AJ124" si="40">100*AI88/$T88</f>
        <v>37.19879518072289</v>
      </c>
      <c r="AK88">
        <v>53</v>
      </c>
      <c r="AL88" s="3">
        <f t="shared" si="29"/>
        <v>7.9819277108433733</v>
      </c>
      <c r="AM88">
        <v>130</v>
      </c>
      <c r="AN88" s="3">
        <f t="shared" ref="AN88:AN124" si="41">100*AM88/$T88</f>
        <v>19.578313253012048</v>
      </c>
      <c r="AO88" t="s">
        <v>368</v>
      </c>
      <c r="AP88" s="72">
        <f>Дума_партии[[#This Row],[КОИБ]]</f>
        <v>2017</v>
      </c>
      <c r="AQ88" s="1" t="str">
        <f>IF(Дума_партии[[#This Row],[Наблюдателей]]=0,"",Дума_партии[[#This Row],[Наблюдателей]])</f>
        <v/>
      </c>
      <c r="AR88"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51.250764525993844</v>
      </c>
      <c r="AS88" s="10">
        <f>2*(Мособлдума_одномандатный_6[[#This Row],[Лазутина Лариса Евгеньевна]]-(AC$203/100)*Мособлдума_одномандатный_6[[#This Row],[Число действительных бюллетеней]])</f>
        <v>67.035999999999945</v>
      </c>
      <c r="AT88" s="10">
        <f>(Мособлдума_одномандатный_6[[#This Row],[Вброс]]+Мособлдума_одномандатный_6[[#This Row],[Перекладывание]])/2</f>
        <v>59.143382262996894</v>
      </c>
    </row>
    <row r="89" spans="2:46" x14ac:dyDescent="0.4">
      <c r="B89" t="s">
        <v>74</v>
      </c>
      <c r="C89" t="s">
        <v>366</v>
      </c>
      <c r="D89" t="s">
        <v>138</v>
      </c>
      <c r="E89" t="s">
        <v>217</v>
      </c>
      <c r="F89" s="1">
        <f t="shared" ca="1" si="30"/>
        <v>3979</v>
      </c>
      <c r="G89" s="8" t="str">
        <f>Дума_партии[[#This Row],[Местоположение]]</f>
        <v>Шарапово</v>
      </c>
      <c r="H89" s="2" t="str">
        <f>LEFT(Мособлдума_одномандатный_6[[#This Row],[tik]],4)&amp;"."&amp;IF(ISNUMBER(VALUE(RIGHT(Мособлдума_одномандатный_6[[#This Row],[tik]]))),RIGHT(Мособлдума_одномандатный_6[[#This Row],[tik]]),"")</f>
        <v>Один.</v>
      </c>
      <c r="I89">
        <v>1800</v>
      </c>
      <c r="J89" s="8">
        <f>Мособлдума_одномандатный_6[[#This Row],[Число избирателей, внесенных в список на момент окончания голосования]]</f>
        <v>1800</v>
      </c>
      <c r="K89">
        <v>1500</v>
      </c>
      <c r="M89">
        <v>576</v>
      </c>
      <c r="N89">
        <v>57</v>
      </c>
      <c r="O89" s="3">
        <f t="shared" si="31"/>
        <v>35.166666666666664</v>
      </c>
      <c r="P89" s="3">
        <f t="shared" si="32"/>
        <v>3.1666666666666665</v>
      </c>
      <c r="Q89">
        <v>867</v>
      </c>
      <c r="R89">
        <v>57</v>
      </c>
      <c r="S89">
        <v>576</v>
      </c>
      <c r="T89" s="1">
        <f t="shared" si="33"/>
        <v>633</v>
      </c>
      <c r="U89" s="3">
        <f t="shared" si="34"/>
        <v>9.0047393364928912</v>
      </c>
      <c r="V89">
        <v>25</v>
      </c>
      <c r="W89" s="3">
        <f t="shared" si="35"/>
        <v>3.9494470774091628</v>
      </c>
      <c r="X89">
        <v>608</v>
      </c>
      <c r="Y89">
        <v>0</v>
      </c>
      <c r="Z89">
        <v>0</v>
      </c>
      <c r="AA89">
        <v>129</v>
      </c>
      <c r="AB89" s="3">
        <f t="shared" si="36"/>
        <v>20.379146919431278</v>
      </c>
      <c r="AC89">
        <v>25</v>
      </c>
      <c r="AD89" s="3">
        <f t="shared" si="37"/>
        <v>3.9494470774091628</v>
      </c>
      <c r="AE89">
        <v>19</v>
      </c>
      <c r="AF89" s="3">
        <f t="shared" si="38"/>
        <v>3.0015797788309637</v>
      </c>
      <c r="AG89">
        <v>20</v>
      </c>
      <c r="AH89" s="3">
        <f t="shared" si="39"/>
        <v>3.1595576619273302</v>
      </c>
      <c r="AI89">
        <v>245</v>
      </c>
      <c r="AJ89" s="3">
        <f t="shared" si="40"/>
        <v>38.704581358609794</v>
      </c>
      <c r="AK89">
        <v>40</v>
      </c>
      <c r="AL89" s="3">
        <f t="shared" si="29"/>
        <v>6.3191153238546605</v>
      </c>
      <c r="AM89">
        <v>130</v>
      </c>
      <c r="AN89" s="3">
        <f t="shared" si="41"/>
        <v>20.537124802527646</v>
      </c>
      <c r="AO89" t="s">
        <v>368</v>
      </c>
      <c r="AP89" s="72">
        <f>Дума_партии[[#This Row],[КОИБ]]</f>
        <v>2017</v>
      </c>
      <c r="AQ89" s="1" t="str">
        <f>IF(Дума_партии[[#This Row],[Наблюдателей]]=0,"",Дума_партии[[#This Row],[Наблюдателей]])</f>
        <v/>
      </c>
      <c r="AR89"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52.954128440366929</v>
      </c>
      <c r="AS89" s="10">
        <f>2*(Мособлдума_одномандатный_6[[#This Row],[Лазутина Лариса Евгеньевна]]-(AC$203/100)*Мособлдума_одномандатный_6[[#This Row],[Число действительных бюллетеней]])</f>
        <v>69.263999999999953</v>
      </c>
      <c r="AT89" s="10">
        <f>(Мособлдума_одномандатный_6[[#This Row],[Вброс]]+Мособлдума_одномандатный_6[[#This Row],[Перекладывание]])/2</f>
        <v>61.109064220183441</v>
      </c>
    </row>
    <row r="90" spans="2:46" x14ac:dyDescent="0.4">
      <c r="B90" t="s">
        <v>74</v>
      </c>
      <c r="C90" t="s">
        <v>366</v>
      </c>
      <c r="D90" t="s">
        <v>138</v>
      </c>
      <c r="E90" t="s">
        <v>218</v>
      </c>
      <c r="F90" s="1">
        <f t="shared" ca="1" si="30"/>
        <v>3981</v>
      </c>
      <c r="G90" s="8" t="str">
        <f>Дума_партии[[#This Row],[Местоположение]]</f>
        <v>Горки-10</v>
      </c>
      <c r="H90" s="2" t="str">
        <f>LEFT(Мособлдума_одномандатный_6[[#This Row],[tik]],4)&amp;"."&amp;IF(ISNUMBER(VALUE(RIGHT(Мособлдума_одномандатный_6[[#This Row],[tik]]))),RIGHT(Мособлдума_одномандатный_6[[#This Row],[tik]]),"")</f>
        <v>Один.</v>
      </c>
      <c r="I90">
        <v>1896</v>
      </c>
      <c r="J90" s="8">
        <f>Мособлдума_одномандатный_6[[#This Row],[Число избирателей, внесенных в список на момент окончания голосования]]</f>
        <v>1896</v>
      </c>
      <c r="K90">
        <v>1500</v>
      </c>
      <c r="M90">
        <v>639</v>
      </c>
      <c r="N90">
        <v>48</v>
      </c>
      <c r="O90" s="3">
        <f t="shared" si="31"/>
        <v>36.234177215189874</v>
      </c>
      <c r="P90" s="3">
        <f t="shared" si="32"/>
        <v>2.5316455696202533</v>
      </c>
      <c r="Q90">
        <v>813</v>
      </c>
      <c r="R90">
        <v>48</v>
      </c>
      <c r="S90">
        <v>591</v>
      </c>
      <c r="T90" s="1">
        <f t="shared" si="33"/>
        <v>639</v>
      </c>
      <c r="U90" s="3">
        <f t="shared" si="34"/>
        <v>7.511737089201878</v>
      </c>
      <c r="V90">
        <v>51</v>
      </c>
      <c r="W90" s="3">
        <f t="shared" si="35"/>
        <v>7.981220657276995</v>
      </c>
      <c r="X90">
        <v>588</v>
      </c>
      <c r="Y90">
        <v>0</v>
      </c>
      <c r="Z90">
        <v>0</v>
      </c>
      <c r="AA90">
        <v>124</v>
      </c>
      <c r="AB90" s="3">
        <f t="shared" si="36"/>
        <v>19.405320813771517</v>
      </c>
      <c r="AC90">
        <v>28</v>
      </c>
      <c r="AD90" s="3">
        <f t="shared" si="37"/>
        <v>4.3818466353677623</v>
      </c>
      <c r="AE90">
        <v>15</v>
      </c>
      <c r="AF90" s="3">
        <f t="shared" si="38"/>
        <v>2.347417840375587</v>
      </c>
      <c r="AG90">
        <v>25</v>
      </c>
      <c r="AH90" s="3">
        <f t="shared" si="39"/>
        <v>3.9123630672926448</v>
      </c>
      <c r="AI90">
        <v>222</v>
      </c>
      <c r="AJ90" s="3">
        <f t="shared" si="40"/>
        <v>34.741784037558688</v>
      </c>
      <c r="AK90">
        <v>39</v>
      </c>
      <c r="AL90" s="3">
        <f t="shared" si="29"/>
        <v>6.103286384976526</v>
      </c>
      <c r="AM90">
        <v>135</v>
      </c>
      <c r="AN90" s="3">
        <f t="shared" si="41"/>
        <v>21.12676056338028</v>
      </c>
      <c r="AO90" t="s">
        <v>368</v>
      </c>
      <c r="AP90" s="72">
        <f>Дума_партии[[#This Row],[КОИБ]]</f>
        <v>2017</v>
      </c>
      <c r="AQ90" s="1" t="str">
        <f>IF(Дума_партии[[#This Row],[Наблюдателей]]=0,"",Дума_партии[[#This Row],[Наблюдателей]])</f>
        <v/>
      </c>
      <c r="AR90"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28.366972477064166</v>
      </c>
      <c r="AS90" s="10">
        <f>2*(Мособлдума_одномандатный_6[[#This Row],[Лазутина Лариса Евгеньевна]]-(AC$203/100)*Мособлдума_одномандатный_6[[#This Row],[Число действительных бюллетеней]])</f>
        <v>37.103999999999985</v>
      </c>
      <c r="AT90" s="10">
        <f>(Мособлдума_одномандатный_6[[#This Row],[Вброс]]+Мособлдума_одномандатный_6[[#This Row],[Перекладывание]])/2</f>
        <v>32.735486238532076</v>
      </c>
    </row>
    <row r="91" spans="2:46" x14ac:dyDescent="0.4">
      <c r="B91" t="s">
        <v>74</v>
      </c>
      <c r="C91" t="s">
        <v>366</v>
      </c>
      <c r="D91" t="s">
        <v>138</v>
      </c>
      <c r="E91" t="s">
        <v>219</v>
      </c>
      <c r="F91" s="1">
        <f t="shared" ca="1" si="30"/>
        <v>3983</v>
      </c>
      <c r="G91" s="8" t="str">
        <f>Дума_партии[[#This Row],[Местоположение]]</f>
        <v>Горки-10</v>
      </c>
      <c r="H91" s="2" t="str">
        <f>LEFT(Мособлдума_одномандатный_6[[#This Row],[tik]],4)&amp;"."&amp;IF(ISNUMBER(VALUE(RIGHT(Мособлдума_одномандатный_6[[#This Row],[tik]]))),RIGHT(Мособлдума_одномандатный_6[[#This Row],[tik]]),"")</f>
        <v>Один.</v>
      </c>
      <c r="I91">
        <v>1963</v>
      </c>
      <c r="J91" s="8">
        <f>Мособлдума_одномандатный_6[[#This Row],[Число избирателей, внесенных в список на момент окончания голосования]]</f>
        <v>1963</v>
      </c>
      <c r="K91">
        <v>1500</v>
      </c>
      <c r="M91">
        <v>650</v>
      </c>
      <c r="N91">
        <v>203</v>
      </c>
      <c r="O91" s="3">
        <f t="shared" si="31"/>
        <v>43.453897096281203</v>
      </c>
      <c r="P91" s="3">
        <f t="shared" si="32"/>
        <v>10.341314314824249</v>
      </c>
      <c r="Q91">
        <v>647</v>
      </c>
      <c r="R91">
        <v>203</v>
      </c>
      <c r="S91">
        <v>650</v>
      </c>
      <c r="T91" s="1">
        <f t="shared" si="33"/>
        <v>853</v>
      </c>
      <c r="U91" s="3">
        <f t="shared" si="34"/>
        <v>23.798358733880423</v>
      </c>
      <c r="V91">
        <v>38</v>
      </c>
      <c r="W91" s="3">
        <f t="shared" si="35"/>
        <v>4.4548651817116065</v>
      </c>
      <c r="X91">
        <v>815</v>
      </c>
      <c r="Y91">
        <v>0</v>
      </c>
      <c r="Z91">
        <v>0</v>
      </c>
      <c r="AA91">
        <v>118</v>
      </c>
      <c r="AB91" s="3">
        <f t="shared" si="36"/>
        <v>13.833528722157093</v>
      </c>
      <c r="AC91">
        <v>19</v>
      </c>
      <c r="AD91" s="3">
        <f t="shared" si="37"/>
        <v>2.2274325908558033</v>
      </c>
      <c r="AE91">
        <v>18</v>
      </c>
      <c r="AF91" s="3">
        <f t="shared" si="38"/>
        <v>2.1101992966002343</v>
      </c>
      <c r="AG91">
        <v>25</v>
      </c>
      <c r="AH91" s="3">
        <f t="shared" si="39"/>
        <v>2.9308323563892147</v>
      </c>
      <c r="AI91">
        <v>439</v>
      </c>
      <c r="AJ91" s="3">
        <f t="shared" si="40"/>
        <v>51.465416178194609</v>
      </c>
      <c r="AK91">
        <v>53</v>
      </c>
      <c r="AL91" s="3">
        <f t="shared" si="29"/>
        <v>6.2133645955451344</v>
      </c>
      <c r="AM91">
        <v>143</v>
      </c>
      <c r="AN91" s="3">
        <f t="shared" si="41"/>
        <v>16.764361078546308</v>
      </c>
      <c r="AO91" t="s">
        <v>368</v>
      </c>
      <c r="AP91" s="72">
        <f>Дума_партии[[#This Row],[КОИБ]]</f>
        <v>2017</v>
      </c>
      <c r="AQ91" s="1" t="str">
        <f>IF(Дума_партии[[#This Row],[Наблюдателей]]=0,"",Дума_партии[[#This Row],[Наблюдателей]])</f>
        <v/>
      </c>
      <c r="AR91"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240.07645259938835</v>
      </c>
      <c r="AS91" s="10">
        <f>2*(Мособлдума_одномандатный_6[[#This Row],[Лазутина Лариса Евгеньевна]]-(AC$203/100)*Мособлдума_одномандатный_6[[#This Row],[Число действительных бюллетеней]])</f>
        <v>314.02</v>
      </c>
      <c r="AT91" s="10">
        <f>(Мособлдума_одномандатный_6[[#This Row],[Вброс]]+Мособлдума_одномандатный_6[[#This Row],[Перекладывание]])/2</f>
        <v>277.04822629969419</v>
      </c>
    </row>
    <row r="92" spans="2:46" x14ac:dyDescent="0.4">
      <c r="B92" t="s">
        <v>74</v>
      </c>
      <c r="C92" t="s">
        <v>366</v>
      </c>
      <c r="D92" t="s">
        <v>138</v>
      </c>
      <c r="E92" t="s">
        <v>220</v>
      </c>
      <c r="F92" s="1">
        <f t="shared" ca="1" si="30"/>
        <v>3984</v>
      </c>
      <c r="G92" s="8" t="str">
        <f>Дума_партии[[#This Row],[Местоположение]]</f>
        <v>Горки-10</v>
      </c>
      <c r="H92" s="2" t="str">
        <f>LEFT(Мособлдума_одномандатный_6[[#This Row],[tik]],4)&amp;"."&amp;IF(ISNUMBER(VALUE(RIGHT(Мособлдума_одномандатный_6[[#This Row],[tik]]))),RIGHT(Мособлдума_одномандатный_6[[#This Row],[tik]]),"")</f>
        <v>Один.</v>
      </c>
      <c r="I92">
        <v>1902</v>
      </c>
      <c r="J92" s="8">
        <f>Мособлдума_одномандатный_6[[#This Row],[Число избирателей, внесенных в список на момент окончания голосования]]</f>
        <v>1902</v>
      </c>
      <c r="K92">
        <v>1500</v>
      </c>
      <c r="M92">
        <v>743</v>
      </c>
      <c r="N92">
        <v>177</v>
      </c>
      <c r="O92" s="3">
        <f t="shared" si="31"/>
        <v>48.370136698212406</v>
      </c>
      <c r="P92" s="3">
        <f t="shared" si="32"/>
        <v>9.3059936908517358</v>
      </c>
      <c r="Q92">
        <v>580</v>
      </c>
      <c r="R92">
        <v>177</v>
      </c>
      <c r="S92">
        <v>743</v>
      </c>
      <c r="T92" s="1">
        <f t="shared" si="33"/>
        <v>920</v>
      </c>
      <c r="U92" s="3">
        <f t="shared" si="34"/>
        <v>19.239130434782609</v>
      </c>
      <c r="V92">
        <v>38</v>
      </c>
      <c r="W92" s="3">
        <f t="shared" si="35"/>
        <v>4.1304347826086953</v>
      </c>
      <c r="X92">
        <v>882</v>
      </c>
      <c r="Y92">
        <v>0</v>
      </c>
      <c r="Z92">
        <v>0</v>
      </c>
      <c r="AA92">
        <v>141</v>
      </c>
      <c r="AB92" s="3">
        <f t="shared" si="36"/>
        <v>15.326086956521738</v>
      </c>
      <c r="AC92">
        <v>35</v>
      </c>
      <c r="AD92" s="3">
        <f t="shared" si="37"/>
        <v>3.8043478260869565</v>
      </c>
      <c r="AE92">
        <v>10</v>
      </c>
      <c r="AF92" s="3">
        <f t="shared" si="38"/>
        <v>1.0869565217391304</v>
      </c>
      <c r="AG92">
        <v>19</v>
      </c>
      <c r="AH92" s="3">
        <f t="shared" si="39"/>
        <v>2.0652173913043477</v>
      </c>
      <c r="AI92">
        <v>501</v>
      </c>
      <c r="AJ92" s="3">
        <f t="shared" si="40"/>
        <v>54.456521739130437</v>
      </c>
      <c r="AK92">
        <v>45</v>
      </c>
      <c r="AL92" s="3">
        <f t="shared" si="29"/>
        <v>4.8913043478260869</v>
      </c>
      <c r="AM92">
        <v>131</v>
      </c>
      <c r="AN92" s="3">
        <f t="shared" si="41"/>
        <v>14.239130434782609</v>
      </c>
      <c r="AO92" t="s">
        <v>368</v>
      </c>
      <c r="AP92" s="72" t="str">
        <f>Дума_партии[[#This Row],[КОИБ]]</f>
        <v>N</v>
      </c>
      <c r="AQ92" s="1" t="str">
        <f>IF(Дума_партии[[#This Row],[Наблюдателей]]=0,"",Дума_партии[[#This Row],[Наблюдателей]])</f>
        <v/>
      </c>
      <c r="AR92"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299.43119266055044</v>
      </c>
      <c r="AS92" s="10">
        <f>2*(Мособлдума_одномандатный_6[[#This Row],[Лазутина Лариса Евгеньевна]]-(AC$203/100)*Мособлдума_одномандатный_6[[#This Row],[Число действительных бюллетеней]])</f>
        <v>391.65599999999995</v>
      </c>
      <c r="AT92" s="10">
        <f>(Мособлдума_одномандатный_6[[#This Row],[Вброс]]+Мособлдума_одномандатный_6[[#This Row],[Перекладывание]])/2</f>
        <v>345.54359633027519</v>
      </c>
    </row>
    <row r="93" spans="2:46" x14ac:dyDescent="0.4">
      <c r="B93" t="s">
        <v>74</v>
      </c>
      <c r="C93" t="s">
        <v>366</v>
      </c>
      <c r="D93" t="s">
        <v>138</v>
      </c>
      <c r="E93" t="s">
        <v>221</v>
      </c>
      <c r="F93" s="1">
        <f t="shared" ca="1" si="30"/>
        <v>3985</v>
      </c>
      <c r="G93" s="8" t="str">
        <f>Дума_партии[[#This Row],[Местоположение]]</f>
        <v>Успенское</v>
      </c>
      <c r="H93" s="2" t="str">
        <f>LEFT(Мособлдума_одномандатный_6[[#This Row],[tik]],4)&amp;"."&amp;IF(ISNUMBER(VALUE(RIGHT(Мособлдума_одномандатный_6[[#This Row],[tik]]))),RIGHT(Мособлдума_одномандатный_6[[#This Row],[tik]]),"")</f>
        <v>Один.</v>
      </c>
      <c r="I93">
        <v>1647</v>
      </c>
      <c r="J93" s="8">
        <f>Мособлдума_одномандатный_6[[#This Row],[Число избирателей, внесенных в список на момент окончания голосования]]</f>
        <v>1647</v>
      </c>
      <c r="K93">
        <v>1300</v>
      </c>
      <c r="M93">
        <v>615</v>
      </c>
      <c r="N93">
        <v>222</v>
      </c>
      <c r="O93" s="3">
        <f t="shared" si="31"/>
        <v>50.819672131147541</v>
      </c>
      <c r="P93" s="3">
        <f t="shared" si="32"/>
        <v>13.479052823315119</v>
      </c>
      <c r="Q93">
        <v>463</v>
      </c>
      <c r="R93">
        <v>222</v>
      </c>
      <c r="S93">
        <v>615</v>
      </c>
      <c r="T93" s="1">
        <f t="shared" si="33"/>
        <v>837</v>
      </c>
      <c r="U93" s="3">
        <f t="shared" si="34"/>
        <v>26.523297491039425</v>
      </c>
      <c r="V93">
        <v>61</v>
      </c>
      <c r="W93" s="3">
        <f t="shared" si="35"/>
        <v>7.2879330943847069</v>
      </c>
      <c r="X93">
        <v>776</v>
      </c>
      <c r="Y93">
        <v>0</v>
      </c>
      <c r="Z93">
        <v>0</v>
      </c>
      <c r="AA93">
        <v>141</v>
      </c>
      <c r="AB93" s="3">
        <f t="shared" si="36"/>
        <v>16.845878136200717</v>
      </c>
      <c r="AC93">
        <v>30</v>
      </c>
      <c r="AD93" s="3">
        <f t="shared" si="37"/>
        <v>3.5842293906810037</v>
      </c>
      <c r="AE93">
        <v>20</v>
      </c>
      <c r="AF93" s="3">
        <f t="shared" si="38"/>
        <v>2.3894862604540026</v>
      </c>
      <c r="AG93">
        <v>16</v>
      </c>
      <c r="AH93" s="3">
        <f t="shared" si="39"/>
        <v>1.9115890083632019</v>
      </c>
      <c r="AI93">
        <v>405</v>
      </c>
      <c r="AJ93" s="3">
        <f t="shared" si="40"/>
        <v>48.387096774193552</v>
      </c>
      <c r="AK93">
        <v>44</v>
      </c>
      <c r="AL93" s="3">
        <f t="shared" si="29"/>
        <v>5.2568697729988054</v>
      </c>
      <c r="AM93">
        <v>120</v>
      </c>
      <c r="AN93" s="3">
        <f t="shared" si="41"/>
        <v>14.336917562724015</v>
      </c>
      <c r="AO93" t="s">
        <v>368</v>
      </c>
      <c r="AP93" s="72">
        <f>Дума_партии[[#This Row],[КОИБ]]</f>
        <v>2017</v>
      </c>
      <c r="AQ93" s="1" t="str">
        <f>IF(Дума_партии[[#This Row],[Наблюдателей]]=0,"",Дума_партии[[#This Row],[Наблюдателей]])</f>
        <v/>
      </c>
      <c r="AR93"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208.72171253822626</v>
      </c>
      <c r="AS93" s="10">
        <f>2*(Мособлдума_одномандатный_6[[#This Row],[Лазутина Лариса Евгеньевна]]-(AC$203/100)*Мособлдума_одномандатный_6[[#This Row],[Число действительных бюллетеней]])</f>
        <v>273.00799999999992</v>
      </c>
      <c r="AT93" s="10">
        <f>(Мособлдума_одномандатный_6[[#This Row],[Вброс]]+Мособлдума_одномандатный_6[[#This Row],[Перекладывание]])/2</f>
        <v>240.86485626911309</v>
      </c>
    </row>
    <row r="94" spans="2:46" x14ac:dyDescent="0.4">
      <c r="B94" t="s">
        <v>74</v>
      </c>
      <c r="C94" t="s">
        <v>366</v>
      </c>
      <c r="D94" t="s">
        <v>138</v>
      </c>
      <c r="E94" t="s">
        <v>222</v>
      </c>
      <c r="F94" s="1">
        <f t="shared" ca="1" si="30"/>
        <v>3986</v>
      </c>
      <c r="G94" s="8" t="str">
        <f>Дума_партии[[#This Row],[Местоположение]]</f>
        <v>Сосны</v>
      </c>
      <c r="H94" s="2" t="str">
        <f>LEFT(Мособлдума_одномандатный_6[[#This Row],[tik]],4)&amp;"."&amp;IF(ISNUMBER(VALUE(RIGHT(Мособлдума_одномандатный_6[[#This Row],[tik]]))),RIGHT(Мособлдума_одномандатный_6[[#This Row],[tik]]),"")</f>
        <v>Один.</v>
      </c>
      <c r="I94">
        <v>1316</v>
      </c>
      <c r="J94" s="8">
        <f>Мособлдума_одномандатный_6[[#This Row],[Число избирателей, внесенных в список на момент окончания голосования]]</f>
        <v>1316</v>
      </c>
      <c r="K94">
        <v>1000</v>
      </c>
      <c r="M94">
        <v>430</v>
      </c>
      <c r="N94">
        <v>277</v>
      </c>
      <c r="O94" s="3">
        <f t="shared" si="31"/>
        <v>53.723404255319146</v>
      </c>
      <c r="P94" s="3">
        <f t="shared" si="32"/>
        <v>21.048632218844986</v>
      </c>
      <c r="Q94">
        <v>293</v>
      </c>
      <c r="R94">
        <v>277</v>
      </c>
      <c r="S94">
        <v>430</v>
      </c>
      <c r="T94" s="1">
        <f t="shared" si="33"/>
        <v>707</v>
      </c>
      <c r="U94" s="3">
        <f t="shared" si="34"/>
        <v>39.179632248939178</v>
      </c>
      <c r="V94">
        <v>20</v>
      </c>
      <c r="W94" s="3">
        <f t="shared" si="35"/>
        <v>2.8288543140028288</v>
      </c>
      <c r="X94">
        <v>687</v>
      </c>
      <c r="Y94">
        <v>0</v>
      </c>
      <c r="Z94">
        <v>0</v>
      </c>
      <c r="AA94">
        <v>92</v>
      </c>
      <c r="AB94" s="3">
        <f t="shared" si="36"/>
        <v>13.012729844413013</v>
      </c>
      <c r="AC94">
        <v>16</v>
      </c>
      <c r="AD94" s="3">
        <f t="shared" si="37"/>
        <v>2.2630834512022631</v>
      </c>
      <c r="AE94">
        <v>23</v>
      </c>
      <c r="AF94" s="3">
        <f t="shared" si="38"/>
        <v>3.2531824611032532</v>
      </c>
      <c r="AG94">
        <v>16</v>
      </c>
      <c r="AH94" s="3">
        <f t="shared" si="39"/>
        <v>2.2630834512022631</v>
      </c>
      <c r="AI94">
        <v>414</v>
      </c>
      <c r="AJ94" s="3">
        <f t="shared" si="40"/>
        <v>58.557284299858559</v>
      </c>
      <c r="AK94">
        <v>33</v>
      </c>
      <c r="AL94" s="3">
        <f t="shared" si="29"/>
        <v>4.6676096181046676</v>
      </c>
      <c r="AM94">
        <v>93</v>
      </c>
      <c r="AN94" s="3">
        <f t="shared" si="41"/>
        <v>13.154172560113155</v>
      </c>
      <c r="AO94" t="s">
        <v>368</v>
      </c>
      <c r="AP94" s="72">
        <f>Дума_партии[[#This Row],[КОИБ]]</f>
        <v>2017</v>
      </c>
      <c r="AQ94" s="1" t="str">
        <f>IF(Дума_партии[[#This Row],[Наблюдателей]]=0,"",Дума_партии[[#This Row],[Наблюдателей]])</f>
        <v/>
      </c>
      <c r="AR94"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269.56880733944951</v>
      </c>
      <c r="AS94" s="10">
        <f>2*(Мособлдума_одномандатный_6[[#This Row],[Лазутина Лариса Евгеньевна]]-(AC$203/100)*Мособлдума_одномандатный_6[[#This Row],[Число действительных бюллетеней]])</f>
        <v>352.59599999999995</v>
      </c>
      <c r="AT94" s="10">
        <f>(Мособлдума_одномандатный_6[[#This Row],[Вброс]]+Мособлдума_одномандатный_6[[#This Row],[Перекладывание]])/2</f>
        <v>311.08240366972473</v>
      </c>
    </row>
    <row r="95" spans="2:46" s="17" customFormat="1" hidden="1" x14ac:dyDescent="0.4">
      <c r="G95" s="24"/>
      <c r="H95" s="42"/>
      <c r="J95" s="24"/>
      <c r="O95" s="25"/>
      <c r="P95" s="25"/>
      <c r="U95" s="25"/>
      <c r="W95" s="25"/>
      <c r="AB95" s="25"/>
      <c r="AD95" s="25"/>
      <c r="AF95" s="25"/>
      <c r="AH95" s="25"/>
      <c r="AJ95" s="25"/>
      <c r="AK95" s="25"/>
      <c r="AL95" s="25"/>
      <c r="AN95" s="25"/>
      <c r="AR95" s="26"/>
      <c r="AS95" s="26"/>
      <c r="AT95" s="26"/>
    </row>
    <row r="96" spans="2:46" s="17" customFormat="1" hidden="1" x14ac:dyDescent="0.4">
      <c r="G96" s="24"/>
      <c r="H96" s="42"/>
      <c r="J96" s="24"/>
      <c r="O96" s="25"/>
      <c r="P96" s="25"/>
      <c r="U96" s="25"/>
      <c r="W96" s="25"/>
      <c r="AB96" s="25"/>
      <c r="AD96" s="25"/>
      <c r="AF96" s="25"/>
      <c r="AH96" s="25"/>
      <c r="AJ96" s="25"/>
      <c r="AK96" s="25"/>
      <c r="AL96" s="25"/>
      <c r="AN96" s="25"/>
      <c r="AR96" s="26"/>
      <c r="AS96" s="26"/>
      <c r="AT96" s="26"/>
    </row>
    <row r="97" spans="2:46" s="17" customFormat="1" hidden="1" x14ac:dyDescent="0.4">
      <c r="G97" s="24"/>
      <c r="H97" s="42"/>
      <c r="J97" s="24"/>
      <c r="O97" s="25"/>
      <c r="P97" s="25"/>
      <c r="U97" s="25"/>
      <c r="W97" s="25"/>
      <c r="AB97" s="25"/>
      <c r="AD97" s="25"/>
      <c r="AF97" s="25"/>
      <c r="AH97" s="25"/>
      <c r="AJ97" s="25"/>
      <c r="AK97" s="25"/>
      <c r="AL97" s="25"/>
      <c r="AN97" s="25"/>
      <c r="AR97" s="26"/>
      <c r="AS97" s="26"/>
      <c r="AT97" s="26"/>
    </row>
    <row r="98" spans="2:46" s="17" customFormat="1" hidden="1" x14ac:dyDescent="0.4">
      <c r="G98" s="24"/>
      <c r="H98" s="42"/>
      <c r="J98" s="24"/>
      <c r="O98" s="25"/>
      <c r="P98" s="25"/>
      <c r="U98" s="25"/>
      <c r="W98" s="25"/>
      <c r="AB98" s="25"/>
      <c r="AD98" s="25"/>
      <c r="AF98" s="25"/>
      <c r="AH98" s="25"/>
      <c r="AJ98" s="25"/>
      <c r="AK98" s="25"/>
      <c r="AL98" s="25"/>
      <c r="AN98" s="25"/>
      <c r="AR98" s="26"/>
      <c r="AS98" s="26"/>
      <c r="AT98" s="26"/>
    </row>
    <row r="99" spans="2:46" x14ac:dyDescent="0.4">
      <c r="B99" t="s">
        <v>74</v>
      </c>
      <c r="C99" t="s">
        <v>366</v>
      </c>
      <c r="D99" t="s">
        <v>227</v>
      </c>
      <c r="E99" t="s">
        <v>228</v>
      </c>
      <c r="F99" s="1">
        <f t="shared" ca="1" si="30"/>
        <v>1947</v>
      </c>
      <c r="G99" s="8" t="str">
        <f>Дума_партии[[#This Row],[Местоположение]]</f>
        <v>Одинцово</v>
      </c>
      <c r="H99" s="2" t="str">
        <f>LEFT(Мособлдума_одномандатный_6[[#This Row],[tik]],4)&amp;"."&amp;IF(ISNUMBER(VALUE(RIGHT(Мособлдума_одномандатный_6[[#This Row],[tik]]))),RIGHT(Мособлдума_одномандатный_6[[#This Row],[tik]]),"")</f>
        <v>Один.2</v>
      </c>
      <c r="I99">
        <v>2387</v>
      </c>
      <c r="J99" s="8">
        <f>Мособлдума_одномандатный_6[[#This Row],[Число избирателей, внесенных в список на момент окончания голосования]]</f>
        <v>2387</v>
      </c>
      <c r="K99">
        <v>2000</v>
      </c>
      <c r="M99">
        <v>706</v>
      </c>
      <c r="N99">
        <v>429</v>
      </c>
      <c r="O99" s="3">
        <f t="shared" si="31"/>
        <v>47.549224968579807</v>
      </c>
      <c r="P99" s="3">
        <f t="shared" si="32"/>
        <v>17.972350230414747</v>
      </c>
      <c r="Q99">
        <v>865</v>
      </c>
      <c r="R99">
        <v>429</v>
      </c>
      <c r="S99">
        <v>706</v>
      </c>
      <c r="T99" s="1">
        <f t="shared" si="33"/>
        <v>1135</v>
      </c>
      <c r="U99" s="3">
        <f t="shared" si="34"/>
        <v>37.797356828193834</v>
      </c>
      <c r="V99">
        <v>212</v>
      </c>
      <c r="W99" s="3">
        <f t="shared" si="35"/>
        <v>18.678414096916299</v>
      </c>
      <c r="X99">
        <v>923</v>
      </c>
      <c r="Y99">
        <v>0</v>
      </c>
      <c r="Z99">
        <v>0</v>
      </c>
      <c r="AA99">
        <v>166</v>
      </c>
      <c r="AB99" s="3">
        <f t="shared" si="36"/>
        <v>14.625550660792952</v>
      </c>
      <c r="AC99">
        <v>33</v>
      </c>
      <c r="AD99" s="3">
        <f t="shared" si="37"/>
        <v>2.9074889867841409</v>
      </c>
      <c r="AE99">
        <v>15</v>
      </c>
      <c r="AF99" s="3">
        <f t="shared" si="38"/>
        <v>1.3215859030837005</v>
      </c>
      <c r="AG99">
        <v>22</v>
      </c>
      <c r="AH99" s="3">
        <f t="shared" si="39"/>
        <v>1.9383259911894273</v>
      </c>
      <c r="AI99">
        <v>475</v>
      </c>
      <c r="AJ99" s="3">
        <f t="shared" si="40"/>
        <v>41.85022026431718</v>
      </c>
      <c r="AK99">
        <v>58</v>
      </c>
      <c r="AL99" s="3">
        <f t="shared" si="29"/>
        <v>5.1101321585903081</v>
      </c>
      <c r="AM99">
        <v>154</v>
      </c>
      <c r="AN99" s="3">
        <f t="shared" si="41"/>
        <v>13.568281938325992</v>
      </c>
      <c r="AO99" t="s">
        <v>370</v>
      </c>
      <c r="AP99" s="72">
        <f>Дума_партии[[#This Row],[КОИБ]]</f>
        <v>2017</v>
      </c>
      <c r="AQ99" s="1" t="str">
        <f>IF(Дума_партии[[#This Row],[Наблюдателей]]=0,"",Дума_партии[[#This Row],[Наблюдателей]])</f>
        <v/>
      </c>
      <c r="AR99"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237.98470948012226</v>
      </c>
      <c r="AS99" s="10">
        <f>2*(Мособлдума_одномандатный_6[[#This Row],[Лазутина Лариса Евгеньевна]]-(AC$203/100)*Мособлдума_одномандатный_6[[#This Row],[Число действительных бюллетеней]])</f>
        <v>311.28399999999999</v>
      </c>
      <c r="AT99" s="10">
        <f>(Мособлдума_одномандатный_6[[#This Row],[Вброс]]+Мособлдума_одномандатный_6[[#This Row],[Перекладывание]])/2</f>
        <v>274.6343547400611</v>
      </c>
    </row>
    <row r="100" spans="2:46" x14ac:dyDescent="0.4">
      <c r="B100" t="s">
        <v>74</v>
      </c>
      <c r="C100" t="s">
        <v>366</v>
      </c>
      <c r="D100" t="s">
        <v>227</v>
      </c>
      <c r="E100" t="s">
        <v>229</v>
      </c>
      <c r="F100" s="1">
        <f t="shared" ca="1" si="30"/>
        <v>1948</v>
      </c>
      <c r="G100" s="8" t="str">
        <f>Дума_партии[[#This Row],[Местоположение]]</f>
        <v>Одинцово</v>
      </c>
      <c r="H100" s="2" t="str">
        <f>LEFT(Мособлдума_одномандатный_6[[#This Row],[tik]],4)&amp;"."&amp;IF(ISNUMBER(VALUE(RIGHT(Мособлдума_одномандатный_6[[#This Row],[tik]]))),RIGHT(Мособлдума_одномандатный_6[[#This Row],[tik]]),"")</f>
        <v>Один.2</v>
      </c>
      <c r="I100">
        <v>1535</v>
      </c>
      <c r="J100" s="8">
        <f>Мособлдума_одномандатный_6[[#This Row],[Число избирателей, внесенных в список на момент окончания голосования]]</f>
        <v>1535</v>
      </c>
      <c r="K100">
        <v>1300</v>
      </c>
      <c r="M100">
        <v>436</v>
      </c>
      <c r="N100">
        <v>366</v>
      </c>
      <c r="O100" s="3">
        <f t="shared" si="31"/>
        <v>52.247557003257327</v>
      </c>
      <c r="P100" s="3">
        <f t="shared" si="32"/>
        <v>23.843648208469055</v>
      </c>
      <c r="Q100">
        <v>498</v>
      </c>
      <c r="R100">
        <v>366</v>
      </c>
      <c r="S100">
        <v>436</v>
      </c>
      <c r="T100" s="1">
        <f t="shared" si="33"/>
        <v>802</v>
      </c>
      <c r="U100" s="3">
        <f t="shared" si="34"/>
        <v>45.635910224438902</v>
      </c>
      <c r="V100">
        <v>27</v>
      </c>
      <c r="W100" s="3">
        <f t="shared" si="35"/>
        <v>3.3665835411471323</v>
      </c>
      <c r="X100">
        <v>775</v>
      </c>
      <c r="Y100">
        <v>0</v>
      </c>
      <c r="Z100">
        <v>0</v>
      </c>
      <c r="AA100">
        <v>114</v>
      </c>
      <c r="AB100" s="3">
        <f t="shared" si="36"/>
        <v>14.214463840399002</v>
      </c>
      <c r="AC100">
        <v>11</v>
      </c>
      <c r="AD100" s="3">
        <f t="shared" si="37"/>
        <v>1.3715710723192021</v>
      </c>
      <c r="AE100">
        <v>8</v>
      </c>
      <c r="AF100" s="3">
        <f t="shared" si="38"/>
        <v>0.99750623441396513</v>
      </c>
      <c r="AG100">
        <v>19</v>
      </c>
      <c r="AH100" s="3">
        <f t="shared" si="39"/>
        <v>2.3690773067331672</v>
      </c>
      <c r="AI100">
        <v>481</v>
      </c>
      <c r="AJ100" s="3">
        <f t="shared" si="40"/>
        <v>59.975062344139651</v>
      </c>
      <c r="AK100">
        <v>42</v>
      </c>
      <c r="AL100" s="3">
        <f t="shared" si="29"/>
        <v>5.2369077306733169</v>
      </c>
      <c r="AM100">
        <v>100</v>
      </c>
      <c r="AN100" s="3">
        <f t="shared" si="41"/>
        <v>12.468827930174564</v>
      </c>
      <c r="AO100" t="s">
        <v>370</v>
      </c>
      <c r="AP100" s="72">
        <f>Дума_партии[[#This Row],[КОИБ]]</f>
        <v>2017</v>
      </c>
      <c r="AQ100" s="1" t="str">
        <f>IF(Дума_партии[[#This Row],[Наблюдателей]]=0,"",Дума_партии[[#This Row],[Наблюдателей]])</f>
        <v/>
      </c>
      <c r="AR100"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325.45871559633025</v>
      </c>
      <c r="AS100" s="10">
        <f>2*(Мособлдума_одномандатный_6[[#This Row],[Лазутина Лариса Евгеньевна]]-(AC$203/100)*Мособлдума_одномандатный_6[[#This Row],[Число действительных бюллетеней]])</f>
        <v>425.69999999999993</v>
      </c>
      <c r="AT100" s="10">
        <f>(Мособлдума_одномандатный_6[[#This Row],[Вброс]]+Мособлдума_одномандатный_6[[#This Row],[Перекладывание]])/2</f>
        <v>375.57935779816512</v>
      </c>
    </row>
    <row r="101" spans="2:46" x14ac:dyDescent="0.4">
      <c r="B101" t="s">
        <v>74</v>
      </c>
      <c r="C101" t="s">
        <v>366</v>
      </c>
      <c r="D101" t="s">
        <v>227</v>
      </c>
      <c r="E101" t="s">
        <v>230</v>
      </c>
      <c r="F101" s="1">
        <f t="shared" ca="1" si="30"/>
        <v>1950</v>
      </c>
      <c r="G101" s="8" t="str">
        <f>Дума_партии[[#This Row],[Местоположение]]</f>
        <v>Одинцово</v>
      </c>
      <c r="H101" s="2" t="str">
        <f>LEFT(Мособлдума_одномандатный_6[[#This Row],[tik]],4)&amp;"."&amp;IF(ISNUMBER(VALUE(RIGHT(Мособлдума_одномандатный_6[[#This Row],[tik]]))),RIGHT(Мособлдума_одномандатный_6[[#This Row],[tik]]),"")</f>
        <v>Один.2</v>
      </c>
      <c r="I101">
        <v>2645</v>
      </c>
      <c r="J101" s="8">
        <f>Мособлдума_одномандатный_6[[#This Row],[Число избирателей, внесенных в список на момент окончания голосования]]</f>
        <v>2645</v>
      </c>
      <c r="K101">
        <v>2000</v>
      </c>
      <c r="M101">
        <v>809</v>
      </c>
      <c r="N101">
        <v>13</v>
      </c>
      <c r="O101" s="3">
        <f t="shared" si="31"/>
        <v>31.077504725897921</v>
      </c>
      <c r="P101" s="3">
        <f t="shared" si="32"/>
        <v>0.49149338374291113</v>
      </c>
      <c r="Q101">
        <v>1178</v>
      </c>
      <c r="R101">
        <v>13</v>
      </c>
      <c r="S101">
        <v>809</v>
      </c>
      <c r="T101" s="1">
        <f t="shared" si="33"/>
        <v>822</v>
      </c>
      <c r="U101" s="3">
        <f t="shared" si="34"/>
        <v>1.5815085158150852</v>
      </c>
      <c r="V101">
        <v>68</v>
      </c>
      <c r="W101" s="3">
        <f t="shared" si="35"/>
        <v>8.2725060827250605</v>
      </c>
      <c r="X101">
        <v>754</v>
      </c>
      <c r="Y101">
        <v>0</v>
      </c>
      <c r="Z101">
        <v>0</v>
      </c>
      <c r="AA101">
        <v>189</v>
      </c>
      <c r="AB101" s="3">
        <f t="shared" si="36"/>
        <v>22.992700729927009</v>
      </c>
      <c r="AC101">
        <v>38</v>
      </c>
      <c r="AD101" s="3">
        <f t="shared" si="37"/>
        <v>4.6228710462287106</v>
      </c>
      <c r="AE101">
        <v>19</v>
      </c>
      <c r="AF101" s="3">
        <f t="shared" si="38"/>
        <v>2.3114355231143553</v>
      </c>
      <c r="AG101">
        <v>28</v>
      </c>
      <c r="AH101" s="3">
        <f t="shared" si="39"/>
        <v>3.4063260340632602</v>
      </c>
      <c r="AI101">
        <v>264</v>
      </c>
      <c r="AJ101" s="3">
        <f t="shared" si="40"/>
        <v>32.116788321167881</v>
      </c>
      <c r="AK101">
        <v>55</v>
      </c>
      <c r="AL101" s="3">
        <f t="shared" si="29"/>
        <v>6.6909975669099753</v>
      </c>
      <c r="AM101">
        <v>161</v>
      </c>
      <c r="AN101" s="3">
        <f t="shared" si="41"/>
        <v>19.586374695863746</v>
      </c>
      <c r="AO101" t="s">
        <v>370</v>
      </c>
      <c r="AP101" s="72">
        <f>Дума_партии[[#This Row],[КОИБ]]</f>
        <v>2017</v>
      </c>
      <c r="AQ101" s="1">
        <f>IF(Дума_партии[[#This Row],[Наблюдателей]]=0,"",Дума_партии[[#This Row],[Наблюдателей]])</f>
        <v>1</v>
      </c>
      <c r="AR101"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4.7645259938837512</v>
      </c>
      <c r="AS101" s="10">
        <f>2*(Мособлдума_одномандатный_6[[#This Row],[Лазутина Лариса Евгеньевна]]-(AC$203/100)*Мособлдума_одномандатный_6[[#This Row],[Число действительных бюллетеней]])</f>
        <v>6.2319999999999709</v>
      </c>
      <c r="AT101" s="10">
        <f>(Мособлдума_одномандатный_6[[#This Row],[Вброс]]+Мособлдума_одномандатный_6[[#This Row],[Перекладывание]])/2</f>
        <v>5.498262996941861</v>
      </c>
    </row>
    <row r="102" spans="2:46" x14ac:dyDescent="0.4">
      <c r="B102" t="s">
        <v>74</v>
      </c>
      <c r="C102" t="s">
        <v>366</v>
      </c>
      <c r="D102" t="s">
        <v>227</v>
      </c>
      <c r="E102" t="s">
        <v>231</v>
      </c>
      <c r="F102" s="1">
        <f t="shared" ca="1" si="30"/>
        <v>1953</v>
      </c>
      <c r="G102" s="8" t="str">
        <f>Дума_партии[[#This Row],[Местоположение]]</f>
        <v>Одинцово</v>
      </c>
      <c r="H102" s="2" t="str">
        <f>LEFT(Мособлдума_одномандатный_6[[#This Row],[tik]],4)&amp;"."&amp;IF(ISNUMBER(VALUE(RIGHT(Мособлдума_одномандатный_6[[#This Row],[tik]]))),RIGHT(Мособлдума_одномандатный_6[[#This Row],[tik]]),"")</f>
        <v>Один.2</v>
      </c>
      <c r="I102">
        <v>2043</v>
      </c>
      <c r="J102" s="8">
        <f>Мособлдума_одномандатный_6[[#This Row],[Число избирателей, внесенных в список на момент окончания голосования]]</f>
        <v>2043</v>
      </c>
      <c r="K102">
        <v>1500</v>
      </c>
      <c r="M102">
        <v>679</v>
      </c>
      <c r="N102">
        <v>15</v>
      </c>
      <c r="O102" s="3">
        <f t="shared" si="31"/>
        <v>33.969652471855113</v>
      </c>
      <c r="P102" s="3">
        <f t="shared" si="32"/>
        <v>0.73421439060205584</v>
      </c>
      <c r="Q102">
        <v>806</v>
      </c>
      <c r="R102">
        <v>15</v>
      </c>
      <c r="S102">
        <v>679</v>
      </c>
      <c r="T102" s="1">
        <f t="shared" si="33"/>
        <v>694</v>
      </c>
      <c r="U102" s="3">
        <f t="shared" si="34"/>
        <v>2.1613832853025938</v>
      </c>
      <c r="V102">
        <v>47</v>
      </c>
      <c r="W102" s="3">
        <f t="shared" si="35"/>
        <v>6.772334293948127</v>
      </c>
      <c r="X102">
        <v>647</v>
      </c>
      <c r="Y102">
        <v>0</v>
      </c>
      <c r="Z102">
        <v>0</v>
      </c>
      <c r="AA102">
        <v>163</v>
      </c>
      <c r="AB102" s="3">
        <f t="shared" si="36"/>
        <v>23.487031700288185</v>
      </c>
      <c r="AC102">
        <v>39</v>
      </c>
      <c r="AD102" s="3">
        <f t="shared" si="37"/>
        <v>5.6195965417867439</v>
      </c>
      <c r="AE102">
        <v>13</v>
      </c>
      <c r="AF102" s="3">
        <f t="shared" si="38"/>
        <v>1.8731988472622478</v>
      </c>
      <c r="AG102">
        <v>17</v>
      </c>
      <c r="AH102" s="3">
        <f t="shared" si="39"/>
        <v>2.4495677233429394</v>
      </c>
      <c r="AI102">
        <v>244</v>
      </c>
      <c r="AJ102" s="3">
        <f t="shared" si="40"/>
        <v>35.158501440922187</v>
      </c>
      <c r="AK102">
        <v>45</v>
      </c>
      <c r="AL102" s="3">
        <f t="shared" si="29"/>
        <v>6.4841498559077806</v>
      </c>
      <c r="AM102">
        <v>126</v>
      </c>
      <c r="AN102" s="3">
        <f t="shared" si="41"/>
        <v>18.155619596541786</v>
      </c>
      <c r="AO102" t="s">
        <v>370</v>
      </c>
      <c r="AP102" s="72" t="str">
        <f>Дума_партии[[#This Row],[КОИБ]]</f>
        <v>N</v>
      </c>
      <c r="AQ102" s="1" t="str">
        <f>IF(Дума_партии[[#This Row],[Наблюдателей]]=0,"",Дума_партии[[#This Row],[Наблюдателей]])</f>
        <v/>
      </c>
      <c r="AR102"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30.792048929663565</v>
      </c>
      <c r="AS102" s="10">
        <f>2*(Мособлдума_одномандатный_6[[#This Row],[Лазутина Лариса Евгеньевна]]-(AC$203/100)*Мособлдума_одномандатный_6[[#This Row],[Число действительных бюллетеней]])</f>
        <v>40.275999999999954</v>
      </c>
      <c r="AT102" s="10">
        <f>(Мособлдума_одномандатный_6[[#This Row],[Вброс]]+Мособлдума_одномандатный_6[[#This Row],[Перекладывание]])/2</f>
        <v>35.534024464831759</v>
      </c>
    </row>
    <row r="103" spans="2:46" x14ac:dyDescent="0.4">
      <c r="B103" t="s">
        <v>74</v>
      </c>
      <c r="C103" t="s">
        <v>366</v>
      </c>
      <c r="D103" t="s">
        <v>227</v>
      </c>
      <c r="E103" t="s">
        <v>232</v>
      </c>
      <c r="F103" s="1">
        <f t="shared" ca="1" si="30"/>
        <v>1954</v>
      </c>
      <c r="G103" s="8" t="str">
        <f>Дума_партии[[#This Row],[Местоположение]]</f>
        <v>Одинцово</v>
      </c>
      <c r="H103" s="2" t="str">
        <f>LEFT(Мособлдума_одномандатный_6[[#This Row],[tik]],4)&amp;"."&amp;IF(ISNUMBER(VALUE(RIGHT(Мособлдума_одномандатный_6[[#This Row],[tik]]))),RIGHT(Мособлдума_одномандатный_6[[#This Row],[tik]]),"")</f>
        <v>Один.2</v>
      </c>
      <c r="I103">
        <v>1990</v>
      </c>
      <c r="J103" s="8">
        <f>Мособлдума_одномандатный_6[[#This Row],[Число избирателей, внесенных в список на момент окончания голосования]]</f>
        <v>1990</v>
      </c>
      <c r="K103">
        <v>1100</v>
      </c>
      <c r="M103">
        <v>802</v>
      </c>
      <c r="N103">
        <v>241</v>
      </c>
      <c r="O103" s="3">
        <f t="shared" si="31"/>
        <v>52.412060301507537</v>
      </c>
      <c r="P103" s="3">
        <f t="shared" si="32"/>
        <v>12.110552763819095</v>
      </c>
      <c r="Q103">
        <v>57</v>
      </c>
      <c r="R103">
        <v>241</v>
      </c>
      <c r="S103">
        <v>679</v>
      </c>
      <c r="T103" s="1">
        <f t="shared" si="33"/>
        <v>920</v>
      </c>
      <c r="U103" s="3">
        <f t="shared" si="34"/>
        <v>26.195652173913043</v>
      </c>
      <c r="V103">
        <v>0</v>
      </c>
      <c r="W103" s="3">
        <f t="shared" si="35"/>
        <v>0</v>
      </c>
      <c r="X103">
        <v>920</v>
      </c>
      <c r="Y103">
        <v>0</v>
      </c>
      <c r="Z103">
        <v>0</v>
      </c>
      <c r="AA103">
        <v>194</v>
      </c>
      <c r="AB103" s="3">
        <f t="shared" si="36"/>
        <v>21.086956521739129</v>
      </c>
      <c r="AC103">
        <v>45</v>
      </c>
      <c r="AD103" s="3">
        <f t="shared" si="37"/>
        <v>4.8913043478260869</v>
      </c>
      <c r="AE103">
        <v>31</v>
      </c>
      <c r="AF103" s="3">
        <f t="shared" si="38"/>
        <v>3.3695652173913042</v>
      </c>
      <c r="AG103">
        <v>31</v>
      </c>
      <c r="AH103" s="3">
        <f t="shared" si="39"/>
        <v>3.3695652173913042</v>
      </c>
      <c r="AI103">
        <v>376</v>
      </c>
      <c r="AJ103" s="3">
        <f t="shared" si="40"/>
        <v>40.869565217391305</v>
      </c>
      <c r="AK103">
        <v>84</v>
      </c>
      <c r="AL103" s="3">
        <f t="shared" si="29"/>
        <v>9.1304347826086953</v>
      </c>
      <c r="AM103">
        <v>159</v>
      </c>
      <c r="AN103" s="3">
        <f t="shared" si="41"/>
        <v>17.282608695652176</v>
      </c>
      <c r="AO103" t="s">
        <v>370</v>
      </c>
      <c r="AP103" s="72" t="str">
        <f>Дума_партии[[#This Row],[КОИБ]]</f>
        <v>N</v>
      </c>
      <c r="AQ103" s="1">
        <f>IF(Дума_партии[[#This Row],[Наблюдателей]]=0,"",Дума_партии[[#This Row],[Наблюдателей]])</f>
        <v>1</v>
      </c>
      <c r="AR103"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88.195718654434188</v>
      </c>
      <c r="AS103" s="10">
        <f>2*(Мособлдума_одномандатный_6[[#This Row],[Лазутина Лариса Евгеньевна]]-(AC$203/100)*Мособлдума_одномандатный_6[[#This Row],[Число действительных бюллетеней]])</f>
        <v>115.3599999999999</v>
      </c>
      <c r="AT103" s="10">
        <f>(Мособлдума_одномандатный_6[[#This Row],[Вброс]]+Мособлдума_одномандатный_6[[#This Row],[Перекладывание]])/2</f>
        <v>101.77785932721704</v>
      </c>
    </row>
    <row r="104" spans="2:46" x14ac:dyDescent="0.4">
      <c r="B104" t="s">
        <v>74</v>
      </c>
      <c r="C104" t="s">
        <v>366</v>
      </c>
      <c r="D104" t="s">
        <v>227</v>
      </c>
      <c r="E104" t="s">
        <v>233</v>
      </c>
      <c r="F104" s="1">
        <f t="shared" ca="1" si="30"/>
        <v>1955</v>
      </c>
      <c r="G104" s="8" t="str">
        <f>Дума_партии[[#This Row],[Местоположение]]</f>
        <v>Одинцово</v>
      </c>
      <c r="H104" s="2" t="str">
        <f>LEFT(Мособлдума_одномандатный_6[[#This Row],[tik]],4)&amp;"."&amp;IF(ISNUMBER(VALUE(RIGHT(Мособлдума_одномандатный_6[[#This Row],[tik]]))),RIGHT(Мособлдума_одномандатный_6[[#This Row],[tik]]),"")</f>
        <v>Один.2</v>
      </c>
      <c r="I104">
        <v>988</v>
      </c>
      <c r="J104" s="8">
        <f>Мособлдума_одномандатный_6[[#This Row],[Число избирателей, внесенных в список на момент окончания голосования]]</f>
        <v>988</v>
      </c>
      <c r="K104">
        <v>900</v>
      </c>
      <c r="M104">
        <v>421</v>
      </c>
      <c r="N104">
        <v>115</v>
      </c>
      <c r="O104" s="3">
        <f t="shared" si="31"/>
        <v>54.251012145748987</v>
      </c>
      <c r="P104" s="3">
        <f t="shared" si="32"/>
        <v>11.639676113360323</v>
      </c>
      <c r="Q104">
        <v>364</v>
      </c>
      <c r="R104">
        <v>115</v>
      </c>
      <c r="S104">
        <v>413</v>
      </c>
      <c r="T104" s="1">
        <f t="shared" si="33"/>
        <v>528</v>
      </c>
      <c r="U104" s="3">
        <f t="shared" si="34"/>
        <v>21.780303030303031</v>
      </c>
      <c r="V104">
        <v>37</v>
      </c>
      <c r="W104" s="3">
        <f t="shared" si="35"/>
        <v>7.0075757575757578</v>
      </c>
      <c r="X104">
        <v>491</v>
      </c>
      <c r="Y104">
        <v>0</v>
      </c>
      <c r="Z104">
        <v>0</v>
      </c>
      <c r="AA104">
        <v>62</v>
      </c>
      <c r="AB104" s="3">
        <f t="shared" si="36"/>
        <v>11.742424242424242</v>
      </c>
      <c r="AC104">
        <v>18</v>
      </c>
      <c r="AD104" s="3">
        <f t="shared" si="37"/>
        <v>3.4090909090909092</v>
      </c>
      <c r="AE104">
        <v>18</v>
      </c>
      <c r="AF104" s="3">
        <f t="shared" si="38"/>
        <v>3.4090909090909092</v>
      </c>
      <c r="AG104">
        <v>9</v>
      </c>
      <c r="AH104" s="3">
        <f t="shared" si="39"/>
        <v>1.7045454545454546</v>
      </c>
      <c r="AI104">
        <v>274</v>
      </c>
      <c r="AJ104" s="3">
        <f t="shared" si="40"/>
        <v>51.893939393939391</v>
      </c>
      <c r="AK104">
        <v>40</v>
      </c>
      <c r="AL104" s="3">
        <f t="shared" si="29"/>
        <v>7.5757575757575761</v>
      </c>
      <c r="AM104">
        <v>70</v>
      </c>
      <c r="AN104" s="3">
        <f t="shared" si="41"/>
        <v>13.257575757575758</v>
      </c>
      <c r="AO104" t="s">
        <v>370</v>
      </c>
      <c r="AP104" s="72" t="str">
        <f>Дума_партии[[#This Row],[КОИБ]]</f>
        <v>N</v>
      </c>
      <c r="AQ104" s="1" t="str">
        <f>IF(Дума_партии[[#This Row],[Наблюдателей]]=0,"",Дума_партии[[#This Row],[Наблюдателей]])</f>
        <v/>
      </c>
      <c r="AR104"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159.19571865443424</v>
      </c>
      <c r="AS104" s="10">
        <f>2*(Мособлдума_одномандатный_6[[#This Row],[Лазутина Лариса Евгеньевна]]-(AC$203/100)*Мособлдума_одномандатный_6[[#This Row],[Число действительных бюллетеней]])</f>
        <v>208.22799999999995</v>
      </c>
      <c r="AT104" s="10">
        <f>(Мособлдума_одномандатный_6[[#This Row],[Вброс]]+Мособлдума_одномандатный_6[[#This Row],[Перекладывание]])/2</f>
        <v>183.7118593272171</v>
      </c>
    </row>
    <row r="105" spans="2:46" x14ac:dyDescent="0.4">
      <c r="B105" t="s">
        <v>74</v>
      </c>
      <c r="C105" t="s">
        <v>366</v>
      </c>
      <c r="D105" t="s">
        <v>227</v>
      </c>
      <c r="E105" t="s">
        <v>234</v>
      </c>
      <c r="F105" s="1">
        <f t="shared" ca="1" si="30"/>
        <v>1956</v>
      </c>
      <c r="G105" s="8" t="str">
        <f>Дума_партии[[#This Row],[Местоположение]]</f>
        <v>Одинцово рай. больн.</v>
      </c>
      <c r="H105" s="2" t="str">
        <f>LEFT(Мособлдума_одномандатный_6[[#This Row],[tik]],4)&amp;"."&amp;IF(ISNUMBER(VALUE(RIGHT(Мособлдума_одномандатный_6[[#This Row],[tik]]))),RIGHT(Мособлдума_одномандатный_6[[#This Row],[tik]]),"")</f>
        <v>Один.2</v>
      </c>
      <c r="I105">
        <v>89</v>
      </c>
      <c r="J105" s="8">
        <f>Мособлдума_одномандатный_6[[#This Row],[Число избирателей, внесенных в список на момент окончания голосования]]</f>
        <v>89</v>
      </c>
      <c r="K105">
        <v>89</v>
      </c>
      <c r="M105">
        <v>19</v>
      </c>
      <c r="N105">
        <v>70</v>
      </c>
      <c r="O105" s="3">
        <f t="shared" si="31"/>
        <v>100</v>
      </c>
      <c r="P105" s="3">
        <f t="shared" si="32"/>
        <v>78.651685393258433</v>
      </c>
      <c r="Q105">
        <v>0</v>
      </c>
      <c r="R105">
        <v>70</v>
      </c>
      <c r="S105">
        <v>19</v>
      </c>
      <c r="T105" s="1">
        <f t="shared" si="33"/>
        <v>89</v>
      </c>
      <c r="U105" s="3">
        <f t="shared" si="34"/>
        <v>78.651685393258433</v>
      </c>
      <c r="V105">
        <v>0</v>
      </c>
      <c r="W105" s="3">
        <f t="shared" si="35"/>
        <v>0</v>
      </c>
      <c r="X105">
        <v>89</v>
      </c>
      <c r="Y105">
        <v>0</v>
      </c>
      <c r="Z105">
        <v>0</v>
      </c>
      <c r="AA105">
        <v>3</v>
      </c>
      <c r="AB105" s="3">
        <f t="shared" si="36"/>
        <v>3.3707865168539324</v>
      </c>
      <c r="AC105">
        <v>1</v>
      </c>
      <c r="AD105" s="3">
        <f t="shared" si="37"/>
        <v>1.1235955056179776</v>
      </c>
      <c r="AE105">
        <v>1</v>
      </c>
      <c r="AF105" s="3">
        <f t="shared" si="38"/>
        <v>1.1235955056179776</v>
      </c>
      <c r="AG105">
        <v>1</v>
      </c>
      <c r="AH105" s="3">
        <f t="shared" si="39"/>
        <v>1.1235955056179776</v>
      </c>
      <c r="AI105">
        <v>80</v>
      </c>
      <c r="AJ105" s="3">
        <f t="shared" si="40"/>
        <v>89.887640449438209</v>
      </c>
      <c r="AK105">
        <v>1</v>
      </c>
      <c r="AL105" s="3">
        <f t="shared" si="29"/>
        <v>1.1235955056179776</v>
      </c>
      <c r="AM105">
        <v>2</v>
      </c>
      <c r="AN105" s="3">
        <f t="shared" si="41"/>
        <v>2.2471910112359552</v>
      </c>
      <c r="AO105" t="s">
        <v>370</v>
      </c>
      <c r="AP105" s="72" t="str">
        <f>Дума_партии[[#This Row],[КОИБ]]</f>
        <v>N</v>
      </c>
      <c r="AQ105" s="1" t="str">
        <f>IF(Дума_партии[[#This Row],[Наблюдателей]]=0,"",Дума_партии[[#This Row],[Наблюдателей]])</f>
        <v/>
      </c>
      <c r="AR105"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75.238532110091739</v>
      </c>
      <c r="AS105" s="10">
        <f>2*(Мособлдума_одномандатный_6[[#This Row],[Лазутина Лариса Евгеньевна]]-(AC$203/100)*Мособлдума_одномандатный_6[[#This Row],[Число действительных бюллетеней]])</f>
        <v>98.411999999999992</v>
      </c>
      <c r="AT105" s="10">
        <f>(Мособлдума_одномандатный_6[[#This Row],[Вброс]]+Мособлдума_одномандатный_6[[#This Row],[Перекладывание]])/2</f>
        <v>86.825266055045859</v>
      </c>
    </row>
    <row r="106" spans="2:46" x14ac:dyDescent="0.4">
      <c r="B106" t="s">
        <v>74</v>
      </c>
      <c r="C106" t="s">
        <v>366</v>
      </c>
      <c r="D106" t="s">
        <v>227</v>
      </c>
      <c r="E106" t="s">
        <v>235</v>
      </c>
      <c r="F106" s="1">
        <f t="shared" ca="1" si="30"/>
        <v>1957</v>
      </c>
      <c r="G106" s="8" t="str">
        <f>Дума_партии[[#This Row],[Местоположение]]</f>
        <v>Одинцово клин. госпиталь</v>
      </c>
      <c r="H106" s="2" t="str">
        <f>LEFT(Мособлдума_одномандатный_6[[#This Row],[tik]],4)&amp;"."&amp;IF(ISNUMBER(VALUE(RIGHT(Мособлдума_одномандатный_6[[#This Row],[tik]]))),RIGHT(Мособлдума_одномандатный_6[[#This Row],[tik]]),"")</f>
        <v>Один.2</v>
      </c>
      <c r="I106">
        <v>83</v>
      </c>
      <c r="J106" s="8">
        <f>Мособлдума_одномандатный_6[[#This Row],[Число избирателей, внесенных в список на момент окончания голосования]]</f>
        <v>83</v>
      </c>
      <c r="K106">
        <v>83</v>
      </c>
      <c r="M106">
        <v>56</v>
      </c>
      <c r="N106">
        <v>0</v>
      </c>
      <c r="O106" s="3">
        <f t="shared" si="31"/>
        <v>67.46987951807229</v>
      </c>
      <c r="P106" s="3">
        <f t="shared" si="32"/>
        <v>0</v>
      </c>
      <c r="Q106">
        <v>27</v>
      </c>
      <c r="R106">
        <v>0</v>
      </c>
      <c r="S106">
        <v>56</v>
      </c>
      <c r="T106" s="1">
        <f t="shared" si="33"/>
        <v>56</v>
      </c>
      <c r="U106" s="3">
        <f t="shared" si="34"/>
        <v>0</v>
      </c>
      <c r="V106">
        <v>2</v>
      </c>
      <c r="W106" s="3">
        <f t="shared" si="35"/>
        <v>3.5714285714285716</v>
      </c>
      <c r="X106">
        <v>54</v>
      </c>
      <c r="Y106">
        <v>0</v>
      </c>
      <c r="Z106">
        <v>0</v>
      </c>
      <c r="AA106">
        <v>9</v>
      </c>
      <c r="AB106" s="3">
        <f t="shared" si="36"/>
        <v>16.071428571428573</v>
      </c>
      <c r="AC106">
        <v>2</v>
      </c>
      <c r="AD106" s="3">
        <f t="shared" si="37"/>
        <v>3.5714285714285716</v>
      </c>
      <c r="AE106">
        <v>1</v>
      </c>
      <c r="AF106" s="3">
        <f t="shared" si="38"/>
        <v>1.7857142857142858</v>
      </c>
      <c r="AG106">
        <v>1</v>
      </c>
      <c r="AH106" s="3">
        <f t="shared" si="39"/>
        <v>1.7857142857142858</v>
      </c>
      <c r="AI106">
        <v>25</v>
      </c>
      <c r="AJ106" s="3">
        <f t="shared" si="40"/>
        <v>44.642857142857146</v>
      </c>
      <c r="AK106">
        <v>4</v>
      </c>
      <c r="AL106" s="3">
        <f t="shared" si="29"/>
        <v>7.1428571428571432</v>
      </c>
      <c r="AM106">
        <v>12</v>
      </c>
      <c r="AN106" s="3">
        <f t="shared" si="41"/>
        <v>21.428571428571427</v>
      </c>
      <c r="AO106" t="s">
        <v>370</v>
      </c>
      <c r="AP106" s="72" t="str">
        <f>Дума_партии[[#This Row],[КОИБ]]</f>
        <v>N</v>
      </c>
      <c r="AQ106" s="1" t="str">
        <f>IF(Дума_партии[[#This Row],[Наблюдателей]]=0,"",Дума_партии[[#This Row],[Наблюдателей]])</f>
        <v/>
      </c>
      <c r="AR106"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9.6574923547400573</v>
      </c>
      <c r="AS106" s="10">
        <f>2*(Мособлдума_одномандатный_6[[#This Row],[Лазутина Лариса Евгеньевна]]-(AC$203/100)*Мособлдума_одномандатный_6[[#This Row],[Число действительных бюллетеней]])</f>
        <v>12.631999999999998</v>
      </c>
      <c r="AT106" s="10">
        <f>(Мособлдума_одномандатный_6[[#This Row],[Вброс]]+Мособлдума_одномандатный_6[[#This Row],[Перекладывание]])/2</f>
        <v>11.144746177370028</v>
      </c>
    </row>
    <row r="107" spans="2:46" x14ac:dyDescent="0.4">
      <c r="B107" t="s">
        <v>74</v>
      </c>
      <c r="C107" t="s">
        <v>366</v>
      </c>
      <c r="D107" t="s">
        <v>227</v>
      </c>
      <c r="E107" t="s">
        <v>236</v>
      </c>
      <c r="F107" s="1">
        <f t="shared" ca="1" si="30"/>
        <v>1959</v>
      </c>
      <c r="G107" s="8" t="str">
        <f>Дума_партии[[#This Row],[Местоположение]]</f>
        <v>Одинцово</v>
      </c>
      <c r="H107" s="2" t="str">
        <f>LEFT(Мособлдума_одномандатный_6[[#This Row],[tik]],4)&amp;"."&amp;IF(ISNUMBER(VALUE(RIGHT(Мособлдума_одномандатный_6[[#This Row],[tik]]))),RIGHT(Мособлдума_одномандатный_6[[#This Row],[tik]]),"")</f>
        <v>Один.2</v>
      </c>
      <c r="I107">
        <v>1762</v>
      </c>
      <c r="J107" s="8">
        <f>Мособлдума_одномандатный_6[[#This Row],[Число избирателей, внесенных в список на момент окончания голосования]]</f>
        <v>1762</v>
      </c>
      <c r="K107">
        <v>1500</v>
      </c>
      <c r="M107">
        <v>658</v>
      </c>
      <c r="N107">
        <v>129</v>
      </c>
      <c r="O107" s="3">
        <f t="shared" si="31"/>
        <v>44.665153234960272</v>
      </c>
      <c r="P107" s="3">
        <f t="shared" si="32"/>
        <v>7.3212258796821796</v>
      </c>
      <c r="Q107">
        <v>713</v>
      </c>
      <c r="R107">
        <v>129</v>
      </c>
      <c r="S107">
        <v>658</v>
      </c>
      <c r="T107" s="1">
        <f t="shared" si="33"/>
        <v>787</v>
      </c>
      <c r="U107" s="3">
        <f t="shared" si="34"/>
        <v>16.391359593392629</v>
      </c>
      <c r="V107">
        <v>47</v>
      </c>
      <c r="W107" s="3">
        <f t="shared" si="35"/>
        <v>5.9720457433290974</v>
      </c>
      <c r="X107">
        <v>740</v>
      </c>
      <c r="Y107">
        <v>0</v>
      </c>
      <c r="Z107">
        <v>0</v>
      </c>
      <c r="AA107">
        <v>136</v>
      </c>
      <c r="AB107" s="3">
        <f t="shared" si="36"/>
        <v>17.280813214739517</v>
      </c>
      <c r="AC107">
        <v>27</v>
      </c>
      <c r="AD107" s="3">
        <f t="shared" si="37"/>
        <v>3.4307496823379924</v>
      </c>
      <c r="AE107">
        <v>18</v>
      </c>
      <c r="AF107" s="3">
        <f t="shared" si="38"/>
        <v>2.2871664548919948</v>
      </c>
      <c r="AG107">
        <v>30</v>
      </c>
      <c r="AH107" s="3">
        <f t="shared" si="39"/>
        <v>3.8119440914866582</v>
      </c>
      <c r="AI107">
        <v>333</v>
      </c>
      <c r="AJ107" s="3">
        <f t="shared" si="40"/>
        <v>42.312579415501908</v>
      </c>
      <c r="AK107">
        <v>39</v>
      </c>
      <c r="AL107" s="3">
        <f t="shared" si="29"/>
        <v>4.9555273189326554</v>
      </c>
      <c r="AM107">
        <v>157</v>
      </c>
      <c r="AN107" s="3">
        <f t="shared" si="41"/>
        <v>19.949174078780178</v>
      </c>
      <c r="AO107" t="s">
        <v>370</v>
      </c>
      <c r="AP107" s="72">
        <f>Дума_партии[[#This Row],[КОИБ]]</f>
        <v>2017</v>
      </c>
      <c r="AQ107" s="1" t="str">
        <f>IF(Дума_партии[[#This Row],[Наблюдателей]]=0,"",Дума_партии[[#This Row],[Наблюдателей]])</f>
        <v/>
      </c>
      <c r="AR107"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117.67584097859321</v>
      </c>
      <c r="AS107" s="10">
        <f>2*(Мособлдума_одномандатный_6[[#This Row],[Лазутина Лариса Евгеньевна]]-(AC$203/100)*Мособлдума_одномандатный_6[[#This Row],[Число действительных бюллетеней]])</f>
        <v>153.91999999999996</v>
      </c>
      <c r="AT107" s="10">
        <f>(Мособлдума_одномандатный_6[[#This Row],[Вброс]]+Мособлдума_одномандатный_6[[#This Row],[Перекладывание]])/2</f>
        <v>135.79792048929659</v>
      </c>
    </row>
    <row r="108" spans="2:46" x14ac:dyDescent="0.4">
      <c r="B108" t="s">
        <v>74</v>
      </c>
      <c r="C108" t="s">
        <v>366</v>
      </c>
      <c r="D108" t="s">
        <v>227</v>
      </c>
      <c r="E108" t="s">
        <v>237</v>
      </c>
      <c r="F108" s="1">
        <f t="shared" ca="1" si="30"/>
        <v>1960</v>
      </c>
      <c r="G108" s="8" t="str">
        <f>Дума_партии[[#This Row],[Местоположение]]</f>
        <v>Одинцово</v>
      </c>
      <c r="H108" s="2" t="str">
        <f>LEFT(Мособлдума_одномандатный_6[[#This Row],[tik]],4)&amp;"."&amp;IF(ISNUMBER(VALUE(RIGHT(Мособлдума_одномандатный_6[[#This Row],[tik]]))),RIGHT(Мособлдума_одномандатный_6[[#This Row],[tik]]),"")</f>
        <v>Один.2</v>
      </c>
      <c r="I108">
        <v>1063</v>
      </c>
      <c r="J108" s="8">
        <f>Мособлдума_одномандатный_6[[#This Row],[Число избирателей, внесенных в список на момент окончания голосования]]</f>
        <v>1063</v>
      </c>
      <c r="K108">
        <v>1000</v>
      </c>
      <c r="M108">
        <v>362</v>
      </c>
      <c r="N108">
        <v>6</v>
      </c>
      <c r="O108" s="3">
        <f t="shared" si="31"/>
        <v>34.619002822201317</v>
      </c>
      <c r="P108" s="3">
        <f t="shared" si="32"/>
        <v>0.56444026340545628</v>
      </c>
      <c r="Q108">
        <v>632</v>
      </c>
      <c r="R108">
        <v>6</v>
      </c>
      <c r="S108">
        <v>362</v>
      </c>
      <c r="T108" s="1">
        <f t="shared" si="33"/>
        <v>368</v>
      </c>
      <c r="U108" s="3">
        <f t="shared" si="34"/>
        <v>1.6304347826086956</v>
      </c>
      <c r="V108">
        <v>23</v>
      </c>
      <c r="W108" s="3">
        <f t="shared" si="35"/>
        <v>6.25</v>
      </c>
      <c r="X108">
        <v>345</v>
      </c>
      <c r="Y108">
        <v>0</v>
      </c>
      <c r="Z108">
        <v>0</v>
      </c>
      <c r="AA108">
        <v>73</v>
      </c>
      <c r="AB108" s="3">
        <f t="shared" si="36"/>
        <v>19.836956521739129</v>
      </c>
      <c r="AC108">
        <v>15</v>
      </c>
      <c r="AD108" s="3">
        <f t="shared" si="37"/>
        <v>4.0760869565217392</v>
      </c>
      <c r="AE108">
        <v>5</v>
      </c>
      <c r="AF108" s="3">
        <f t="shared" si="38"/>
        <v>1.3586956521739131</v>
      </c>
      <c r="AG108">
        <v>19</v>
      </c>
      <c r="AH108" s="3">
        <f t="shared" si="39"/>
        <v>5.1630434782608692</v>
      </c>
      <c r="AI108">
        <v>127</v>
      </c>
      <c r="AJ108" s="3">
        <f t="shared" si="40"/>
        <v>34.510869565217391</v>
      </c>
      <c r="AK108">
        <v>27</v>
      </c>
      <c r="AL108" s="3">
        <f t="shared" si="29"/>
        <v>7.3369565217391308</v>
      </c>
      <c r="AM108">
        <v>79</v>
      </c>
      <c r="AN108" s="3">
        <f t="shared" si="41"/>
        <v>21.467391304347824</v>
      </c>
      <c r="AO108" t="s">
        <v>370</v>
      </c>
      <c r="AP108" s="72">
        <f>Дума_партии[[#This Row],[КОИБ]]</f>
        <v>2017</v>
      </c>
      <c r="AQ108" s="1" t="str">
        <f>IF(Дума_партии[[#This Row],[Наблюдателей]]=0,"",Дума_партии[[#This Row],[Наблюдателей]])</f>
        <v/>
      </c>
      <c r="AR108"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11.666666666666643</v>
      </c>
      <c r="AS108" s="10">
        <f>2*(Мособлдума_одномандатный_6[[#This Row],[Лазутина Лариса Евгеньевна]]-(AC$203/100)*Мособлдума_одномандатный_6[[#This Row],[Число действительных бюллетеней]])</f>
        <v>15.259999999999991</v>
      </c>
      <c r="AT108" s="10">
        <f>(Мособлдума_одномандатный_6[[#This Row],[Вброс]]+Мособлдума_одномандатный_6[[#This Row],[Перекладывание]])/2</f>
        <v>13.463333333333317</v>
      </c>
    </row>
    <row r="109" spans="2:46" x14ac:dyDescent="0.4">
      <c r="B109" t="s">
        <v>74</v>
      </c>
      <c r="C109" t="s">
        <v>366</v>
      </c>
      <c r="D109" t="s">
        <v>227</v>
      </c>
      <c r="E109" t="s">
        <v>238</v>
      </c>
      <c r="F109" s="1">
        <f t="shared" ca="1" si="30"/>
        <v>1963</v>
      </c>
      <c r="G109" s="8" t="str">
        <f>Дума_партии[[#This Row],[Местоположение]]</f>
        <v>Одинцово</v>
      </c>
      <c r="H109" s="2" t="str">
        <f>LEFT(Мособлдума_одномандатный_6[[#This Row],[tik]],4)&amp;"."&amp;IF(ISNUMBER(VALUE(RIGHT(Мособлдума_одномандатный_6[[#This Row],[tik]]))),RIGHT(Мособлдума_одномандатный_6[[#This Row],[tik]]),"")</f>
        <v>Один.2</v>
      </c>
      <c r="I109">
        <v>2316</v>
      </c>
      <c r="J109" s="8">
        <f>Мособлдума_одномандатный_6[[#This Row],[Число избирателей, внесенных в список на момент окончания голосования]]</f>
        <v>2316</v>
      </c>
      <c r="K109">
        <v>2000</v>
      </c>
      <c r="M109">
        <v>771</v>
      </c>
      <c r="N109">
        <v>48</v>
      </c>
      <c r="O109" s="3">
        <f t="shared" si="31"/>
        <v>35.362694300518136</v>
      </c>
      <c r="P109" s="3">
        <f t="shared" si="32"/>
        <v>2.0725388601036268</v>
      </c>
      <c r="Q109">
        <v>1181</v>
      </c>
      <c r="R109">
        <v>48</v>
      </c>
      <c r="S109">
        <v>771</v>
      </c>
      <c r="T109" s="1">
        <f t="shared" si="33"/>
        <v>819</v>
      </c>
      <c r="U109" s="3">
        <f t="shared" si="34"/>
        <v>5.8608058608058604</v>
      </c>
      <c r="V109">
        <v>26</v>
      </c>
      <c r="W109" s="3">
        <f t="shared" si="35"/>
        <v>3.1746031746031744</v>
      </c>
      <c r="X109">
        <v>793</v>
      </c>
      <c r="Y109">
        <v>0</v>
      </c>
      <c r="Z109">
        <v>0</v>
      </c>
      <c r="AA109">
        <v>182</v>
      </c>
      <c r="AB109" s="3">
        <f t="shared" si="36"/>
        <v>22.222222222222221</v>
      </c>
      <c r="AC109">
        <v>31</v>
      </c>
      <c r="AD109" s="3">
        <f t="shared" si="37"/>
        <v>3.785103785103785</v>
      </c>
      <c r="AE109">
        <v>18</v>
      </c>
      <c r="AF109" s="3">
        <f t="shared" si="38"/>
        <v>2.197802197802198</v>
      </c>
      <c r="AG109">
        <v>35</v>
      </c>
      <c r="AH109" s="3">
        <f t="shared" si="39"/>
        <v>4.2735042735042734</v>
      </c>
      <c r="AI109">
        <v>298</v>
      </c>
      <c r="AJ109" s="3">
        <f t="shared" si="40"/>
        <v>36.385836385836384</v>
      </c>
      <c r="AK109">
        <v>62</v>
      </c>
      <c r="AL109" s="3">
        <f t="shared" si="29"/>
        <v>7.57020757020757</v>
      </c>
      <c r="AM109">
        <v>167</v>
      </c>
      <c r="AN109" s="3">
        <f t="shared" si="41"/>
        <v>20.390720390720389</v>
      </c>
      <c r="AO109" t="s">
        <v>370</v>
      </c>
      <c r="AP109" s="72">
        <f>Дума_партии[[#This Row],[КОИБ]]</f>
        <v>2017</v>
      </c>
      <c r="AQ109" s="1">
        <f>IF(Дума_партии[[#This Row],[Наблюдателей]]=0,"",Дума_партии[[#This Row],[Наблюдателей]])</f>
        <v>1</v>
      </c>
      <c r="AR109"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36.119266055045784</v>
      </c>
      <c r="AS109" s="10">
        <f>2*(Мособлдума_одномандатный_6[[#This Row],[Лазутина Лариса Евгеньевна]]-(AC$203/100)*Мособлдума_одномандатный_6[[#This Row],[Число действительных бюллетеней]])</f>
        <v>47.243999999999915</v>
      </c>
      <c r="AT109" s="10">
        <f>(Мособлдума_одномандатный_6[[#This Row],[Вброс]]+Мособлдума_одномандатный_6[[#This Row],[Перекладывание]])/2</f>
        <v>41.681633027522849</v>
      </c>
    </row>
    <row r="110" spans="2:46" x14ac:dyDescent="0.4">
      <c r="B110" t="s">
        <v>74</v>
      </c>
      <c r="C110" t="s">
        <v>366</v>
      </c>
      <c r="D110" t="s">
        <v>227</v>
      </c>
      <c r="E110" t="s">
        <v>239</v>
      </c>
      <c r="F110" s="1">
        <f t="shared" ca="1" si="30"/>
        <v>1964</v>
      </c>
      <c r="G110" s="8" t="str">
        <f>Дума_партии[[#This Row],[Местоположение]]</f>
        <v>Одинцово</v>
      </c>
      <c r="H110" s="2" t="str">
        <f>LEFT(Мособлдума_одномандатный_6[[#This Row],[tik]],4)&amp;"."&amp;IF(ISNUMBER(VALUE(RIGHT(Мособлдума_одномандатный_6[[#This Row],[tik]]))),RIGHT(Мособлдума_одномандатный_6[[#This Row],[tik]]),"")</f>
        <v>Один.2</v>
      </c>
      <c r="I110">
        <v>1250</v>
      </c>
      <c r="J110" s="8">
        <f>Мособлдума_одномандатный_6[[#This Row],[Число избирателей, внесенных в список на момент окончания голосования]]</f>
        <v>1250</v>
      </c>
      <c r="K110">
        <v>1000</v>
      </c>
      <c r="M110">
        <v>434</v>
      </c>
      <c r="N110">
        <v>54</v>
      </c>
      <c r="O110" s="3">
        <f t="shared" si="31"/>
        <v>39.04</v>
      </c>
      <c r="P110" s="3">
        <f t="shared" si="32"/>
        <v>4.32</v>
      </c>
      <c r="Q110">
        <v>512</v>
      </c>
      <c r="R110">
        <v>54</v>
      </c>
      <c r="S110">
        <v>432</v>
      </c>
      <c r="T110" s="1">
        <f t="shared" si="33"/>
        <v>486</v>
      </c>
      <c r="U110" s="3">
        <f t="shared" si="34"/>
        <v>11.111111111111111</v>
      </c>
      <c r="V110">
        <v>24</v>
      </c>
      <c r="W110" s="3">
        <f t="shared" si="35"/>
        <v>4.9382716049382713</v>
      </c>
      <c r="X110">
        <v>462</v>
      </c>
      <c r="Y110">
        <v>0</v>
      </c>
      <c r="Z110">
        <v>0</v>
      </c>
      <c r="AA110">
        <v>86</v>
      </c>
      <c r="AB110" s="3">
        <f t="shared" si="36"/>
        <v>17.695473251028808</v>
      </c>
      <c r="AC110">
        <v>19</v>
      </c>
      <c r="AD110" s="3">
        <f t="shared" si="37"/>
        <v>3.9094650205761319</v>
      </c>
      <c r="AE110">
        <v>15</v>
      </c>
      <c r="AF110" s="3">
        <f t="shared" si="38"/>
        <v>3.0864197530864197</v>
      </c>
      <c r="AG110">
        <v>9</v>
      </c>
      <c r="AH110" s="3">
        <f t="shared" si="39"/>
        <v>1.8518518518518519</v>
      </c>
      <c r="AI110">
        <v>214</v>
      </c>
      <c r="AJ110" s="3">
        <f t="shared" si="40"/>
        <v>44.032921810699591</v>
      </c>
      <c r="AK110">
        <v>31</v>
      </c>
      <c r="AL110" s="3">
        <f t="shared" si="29"/>
        <v>6.3786008230452671</v>
      </c>
      <c r="AM110">
        <v>88</v>
      </c>
      <c r="AN110" s="3">
        <f t="shared" si="41"/>
        <v>18.106995884773664</v>
      </c>
      <c r="AO110" t="s">
        <v>370</v>
      </c>
      <c r="AP110" s="72">
        <f>Дума_партии[[#This Row],[КОИБ]]</f>
        <v>2017</v>
      </c>
      <c r="AQ110" s="1" t="str">
        <f>IF(Дума_партии[[#This Row],[Наблюдателей]]=0,"",Дума_партии[[#This Row],[Наблюдателей]])</f>
        <v/>
      </c>
      <c r="AR110"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82.795107033639113</v>
      </c>
      <c r="AS110" s="10">
        <f>2*(Мособлдума_одномандатный_6[[#This Row],[Лазутина Лариса Евгеньевна]]-(AC$203/100)*Мособлдума_одномандатный_6[[#This Row],[Число действительных бюллетеней]])</f>
        <v>108.29599999999999</v>
      </c>
      <c r="AT110" s="10">
        <f>(Мособлдума_одномандатный_6[[#This Row],[Вброс]]+Мособлдума_одномандатный_6[[#This Row],[Перекладывание]])/2</f>
        <v>95.545553516819552</v>
      </c>
    </row>
    <row r="111" spans="2:46" x14ac:dyDescent="0.4">
      <c r="B111" t="s">
        <v>74</v>
      </c>
      <c r="C111" t="s">
        <v>366</v>
      </c>
      <c r="D111" t="s">
        <v>227</v>
      </c>
      <c r="E111" t="s">
        <v>240</v>
      </c>
      <c r="F111" s="1">
        <f t="shared" ca="1" si="30"/>
        <v>1965</v>
      </c>
      <c r="G111" s="8" t="str">
        <f>Дума_партии[[#This Row],[Местоположение]]</f>
        <v>Одинцово</v>
      </c>
      <c r="H111" s="2" t="str">
        <f>LEFT(Мособлдума_одномандатный_6[[#This Row],[tik]],4)&amp;"."&amp;IF(ISNUMBER(VALUE(RIGHT(Мособлдума_одномандатный_6[[#This Row],[tik]]))),RIGHT(Мособлдума_одномандатный_6[[#This Row],[tik]]),"")</f>
        <v>Один.2</v>
      </c>
      <c r="I111">
        <v>1265</v>
      </c>
      <c r="J111" s="8">
        <f>Мособлдума_одномандатный_6[[#This Row],[Число избирателей, внесенных в список на момент окончания голосования]]</f>
        <v>1265</v>
      </c>
      <c r="K111">
        <v>1000</v>
      </c>
      <c r="M111">
        <v>445</v>
      </c>
      <c r="N111">
        <v>5</v>
      </c>
      <c r="O111" s="3">
        <f t="shared" si="31"/>
        <v>35.573122529644266</v>
      </c>
      <c r="P111" s="3">
        <f t="shared" si="32"/>
        <v>0.39525691699604742</v>
      </c>
      <c r="Q111">
        <v>550</v>
      </c>
      <c r="R111">
        <v>5</v>
      </c>
      <c r="S111">
        <v>445</v>
      </c>
      <c r="T111" s="1">
        <f t="shared" si="33"/>
        <v>450</v>
      </c>
      <c r="U111" s="3">
        <f t="shared" si="34"/>
        <v>1.1111111111111112</v>
      </c>
      <c r="V111">
        <v>18</v>
      </c>
      <c r="W111" s="3">
        <f t="shared" si="35"/>
        <v>4</v>
      </c>
      <c r="X111">
        <v>432</v>
      </c>
      <c r="Y111">
        <v>0</v>
      </c>
      <c r="Z111">
        <v>0</v>
      </c>
      <c r="AA111">
        <v>98</v>
      </c>
      <c r="AB111" s="3">
        <f t="shared" si="36"/>
        <v>21.777777777777779</v>
      </c>
      <c r="AC111">
        <v>23</v>
      </c>
      <c r="AD111" s="3">
        <f t="shared" si="37"/>
        <v>5.1111111111111107</v>
      </c>
      <c r="AE111">
        <v>23</v>
      </c>
      <c r="AF111" s="3">
        <f t="shared" si="38"/>
        <v>5.1111111111111107</v>
      </c>
      <c r="AG111">
        <v>16</v>
      </c>
      <c r="AH111" s="3">
        <f t="shared" si="39"/>
        <v>3.5555555555555554</v>
      </c>
      <c r="AI111">
        <v>155</v>
      </c>
      <c r="AJ111" s="3">
        <f t="shared" si="40"/>
        <v>34.444444444444443</v>
      </c>
      <c r="AK111">
        <v>29</v>
      </c>
      <c r="AL111" s="3">
        <f t="shared" si="29"/>
        <v>6.4444444444444446</v>
      </c>
      <c r="AM111">
        <v>88</v>
      </c>
      <c r="AN111" s="3">
        <f t="shared" si="41"/>
        <v>19.555555555555557</v>
      </c>
      <c r="AO111" t="s">
        <v>370</v>
      </c>
      <c r="AP111" s="72">
        <f>Дума_партии[[#This Row],[КОИБ]]</f>
        <v>2017</v>
      </c>
      <c r="AQ111" s="1" t="str">
        <f>IF(Дума_партии[[#This Row],[Наблюдателей]]=0,"",Дума_партии[[#This Row],[Наблюдателей]])</f>
        <v/>
      </c>
      <c r="AR111"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8.4525993883791841</v>
      </c>
      <c r="AS111" s="10">
        <f>2*(Мособлдума_одномандатный_6[[#This Row],[Лазутина Лариса Евгеньевна]]-(AC$203/100)*Мособлдума_одномандатный_6[[#This Row],[Число действительных бюллетеней]])</f>
        <v>11.055999999999983</v>
      </c>
      <c r="AT111" s="10">
        <f>(Мособлдума_одномандатный_6[[#This Row],[Вброс]]+Мособлдума_одномандатный_6[[#This Row],[Перекладывание]])/2</f>
        <v>9.7542996941895836</v>
      </c>
    </row>
    <row r="112" spans="2:46" x14ac:dyDescent="0.4">
      <c r="B112" t="s">
        <v>74</v>
      </c>
      <c r="C112" t="s">
        <v>366</v>
      </c>
      <c r="D112" t="s">
        <v>227</v>
      </c>
      <c r="E112" t="s">
        <v>241</v>
      </c>
      <c r="F112" s="1">
        <f t="shared" ca="1" si="30"/>
        <v>1966</v>
      </c>
      <c r="G112" s="8" t="str">
        <f>Дума_партии[[#This Row],[Местоположение]]</f>
        <v>Одинцово</v>
      </c>
      <c r="H112" s="2" t="str">
        <f>LEFT(Мособлдума_одномандатный_6[[#This Row],[tik]],4)&amp;"."&amp;IF(ISNUMBER(VALUE(RIGHT(Мособлдума_одномандатный_6[[#This Row],[tik]]))),RIGHT(Мособлдума_одномандатный_6[[#This Row],[tik]]),"")</f>
        <v>Один.2</v>
      </c>
      <c r="I112">
        <v>1736</v>
      </c>
      <c r="J112" s="8">
        <f>Мособлдума_одномандатный_6[[#This Row],[Число избирателей, внесенных в список на момент окончания голосования]]</f>
        <v>1736</v>
      </c>
      <c r="K112">
        <v>1500</v>
      </c>
      <c r="M112">
        <v>725</v>
      </c>
      <c r="N112">
        <v>34</v>
      </c>
      <c r="O112" s="3">
        <f t="shared" si="31"/>
        <v>43.721198156682028</v>
      </c>
      <c r="P112" s="3">
        <f t="shared" si="32"/>
        <v>1.9585253456221199</v>
      </c>
      <c r="Q112">
        <v>741</v>
      </c>
      <c r="R112">
        <v>34</v>
      </c>
      <c r="S112">
        <v>698</v>
      </c>
      <c r="T112" s="1">
        <f t="shared" si="33"/>
        <v>732</v>
      </c>
      <c r="U112" s="3">
        <f t="shared" si="34"/>
        <v>4.6448087431693992</v>
      </c>
      <c r="V112">
        <v>30</v>
      </c>
      <c r="W112" s="3">
        <f t="shared" si="35"/>
        <v>4.0983606557377046</v>
      </c>
      <c r="X112">
        <v>702</v>
      </c>
      <c r="Y112">
        <v>0</v>
      </c>
      <c r="Z112">
        <v>0</v>
      </c>
      <c r="AA112">
        <v>164</v>
      </c>
      <c r="AB112" s="3">
        <f t="shared" si="36"/>
        <v>22.404371584699454</v>
      </c>
      <c r="AC112">
        <v>29</v>
      </c>
      <c r="AD112" s="3">
        <f t="shared" si="37"/>
        <v>3.9617486338797816</v>
      </c>
      <c r="AE112">
        <v>26</v>
      </c>
      <c r="AF112" s="3">
        <f t="shared" si="38"/>
        <v>3.5519125683060109</v>
      </c>
      <c r="AG112">
        <v>26</v>
      </c>
      <c r="AH112" s="3">
        <f t="shared" si="39"/>
        <v>3.5519125683060109</v>
      </c>
      <c r="AI112">
        <v>287</v>
      </c>
      <c r="AJ112" s="3">
        <f t="shared" si="40"/>
        <v>39.207650273224047</v>
      </c>
      <c r="AK112">
        <v>40</v>
      </c>
      <c r="AL112" s="3">
        <f t="shared" si="29"/>
        <v>5.4644808743169397</v>
      </c>
      <c r="AM112">
        <v>130</v>
      </c>
      <c r="AN112" s="3">
        <f t="shared" si="41"/>
        <v>17.759562841530055</v>
      </c>
      <c r="AO112" t="s">
        <v>370</v>
      </c>
      <c r="AP112" s="72">
        <f>Дума_партии[[#This Row],[КОИБ]]</f>
        <v>2017</v>
      </c>
      <c r="AQ112" s="1" t="str">
        <f>IF(Дума_партии[[#This Row],[Наблюдателей]]=0,"",Дума_партии[[#This Row],[Наблюдателей]])</f>
        <v/>
      </c>
      <c r="AR112"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67.443425076452542</v>
      </c>
      <c r="AS112" s="10">
        <f>2*(Мособлдума_одномандатный_6[[#This Row],[Лазутина Лариса Евгеньевна]]-(AC$203/100)*Мособлдума_одномандатный_6[[#This Row],[Число действительных бюллетеней]])</f>
        <v>88.215999999999951</v>
      </c>
      <c r="AT112" s="10">
        <f>(Мособлдума_одномандатный_6[[#This Row],[Вброс]]+Мособлдума_одномандатный_6[[#This Row],[Перекладывание]])/2</f>
        <v>77.829712538226246</v>
      </c>
    </row>
    <row r="113" spans="2:46" x14ac:dyDescent="0.4">
      <c r="B113" t="s">
        <v>74</v>
      </c>
      <c r="C113" t="s">
        <v>366</v>
      </c>
      <c r="D113" t="s">
        <v>227</v>
      </c>
      <c r="E113" t="s">
        <v>242</v>
      </c>
      <c r="F113" s="1">
        <f t="shared" ca="1" si="30"/>
        <v>1967</v>
      </c>
      <c r="G113" s="8" t="str">
        <f>Дума_партии[[#This Row],[Местоположение]]</f>
        <v>Одинцово</v>
      </c>
      <c r="H113" s="2" t="str">
        <f>LEFT(Мособлдума_одномандатный_6[[#This Row],[tik]],4)&amp;"."&amp;IF(ISNUMBER(VALUE(RIGHT(Мособлдума_одномандатный_6[[#This Row],[tik]]))),RIGHT(Мособлдума_одномандатный_6[[#This Row],[tik]]),"")</f>
        <v>Один.2</v>
      </c>
      <c r="I113">
        <v>2586</v>
      </c>
      <c r="J113" s="8">
        <f>Мособлдума_одномандатный_6[[#This Row],[Число избирателей, внесенных в список на момент окончания голосования]]</f>
        <v>2586</v>
      </c>
      <c r="K113">
        <v>2000</v>
      </c>
      <c r="M113">
        <v>961</v>
      </c>
      <c r="N113">
        <v>46</v>
      </c>
      <c r="O113" s="3">
        <f t="shared" si="31"/>
        <v>38.940448569218873</v>
      </c>
      <c r="P113" s="3">
        <f t="shared" si="32"/>
        <v>1.7788089713843773</v>
      </c>
      <c r="Q113">
        <v>993</v>
      </c>
      <c r="R113">
        <v>46</v>
      </c>
      <c r="S113">
        <v>912</v>
      </c>
      <c r="T113" s="1">
        <f t="shared" si="33"/>
        <v>958</v>
      </c>
      <c r="U113" s="3">
        <f t="shared" si="34"/>
        <v>4.8016701461377869</v>
      </c>
      <c r="V113">
        <v>33</v>
      </c>
      <c r="W113" s="3">
        <f t="shared" si="35"/>
        <v>3.4446764091858038</v>
      </c>
      <c r="X113">
        <v>925</v>
      </c>
      <c r="Y113">
        <v>0</v>
      </c>
      <c r="Z113">
        <v>0</v>
      </c>
      <c r="AA113">
        <v>236</v>
      </c>
      <c r="AB113" s="3">
        <f t="shared" si="36"/>
        <v>24.63465553235908</v>
      </c>
      <c r="AC113">
        <v>37</v>
      </c>
      <c r="AD113" s="3">
        <f t="shared" si="37"/>
        <v>3.8622129436325681</v>
      </c>
      <c r="AE113">
        <v>30</v>
      </c>
      <c r="AF113" s="3">
        <f t="shared" si="38"/>
        <v>3.1315240083507305</v>
      </c>
      <c r="AG113">
        <v>39</v>
      </c>
      <c r="AH113" s="3">
        <f t="shared" si="39"/>
        <v>4.0709812108559502</v>
      </c>
      <c r="AI113">
        <v>359</v>
      </c>
      <c r="AJ113" s="3">
        <f t="shared" si="40"/>
        <v>37.473903966597078</v>
      </c>
      <c r="AK113">
        <v>55</v>
      </c>
      <c r="AL113" s="3">
        <f t="shared" si="29"/>
        <v>5.7411273486430066</v>
      </c>
      <c r="AM113">
        <v>169</v>
      </c>
      <c r="AN113" s="3">
        <f t="shared" si="41"/>
        <v>17.640918580375782</v>
      </c>
      <c r="AO113" t="s">
        <v>370</v>
      </c>
      <c r="AP113" s="72">
        <f>Дума_партии[[#This Row],[КОИБ]]</f>
        <v>2017</v>
      </c>
      <c r="AQ113" s="1" t="str">
        <f>IF(Дума_партии[[#This Row],[Наблюдателей]]=0,"",Дума_партии[[#This Row],[Наблюдателей]])</f>
        <v/>
      </c>
      <c r="AR113"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59.556574923547316</v>
      </c>
      <c r="AS113" s="10">
        <f>2*(Мособлдума_одномандатный_6[[#This Row],[Лазутина Лариса Евгеньевна]]-(AC$203/100)*Мособлдума_одномандатный_6[[#This Row],[Число действительных бюллетеней]])</f>
        <v>77.899999999999977</v>
      </c>
      <c r="AT113" s="10">
        <f>(Мособлдума_одномандатный_6[[#This Row],[Вброс]]+Мособлдума_одномандатный_6[[#This Row],[Перекладывание]])/2</f>
        <v>68.728287461773647</v>
      </c>
    </row>
    <row r="114" spans="2:46" x14ac:dyDescent="0.4">
      <c r="B114" t="s">
        <v>74</v>
      </c>
      <c r="C114" t="s">
        <v>366</v>
      </c>
      <c r="D114" t="s">
        <v>227</v>
      </c>
      <c r="E114" t="s">
        <v>243</v>
      </c>
      <c r="F114" s="1">
        <f t="shared" ca="1" si="30"/>
        <v>1968</v>
      </c>
      <c r="G114" s="8" t="str">
        <f>Дума_партии[[#This Row],[Местоположение]]</f>
        <v>Одинцово</v>
      </c>
      <c r="H114" s="2" t="str">
        <f>LEFT(Мособлдума_одномандатный_6[[#This Row],[tik]],4)&amp;"."&amp;IF(ISNUMBER(VALUE(RIGHT(Мособлдума_одномандатный_6[[#This Row],[tik]]))),RIGHT(Мособлдума_одномандатный_6[[#This Row],[tik]]),"")</f>
        <v>Один.2</v>
      </c>
      <c r="I114">
        <v>1243</v>
      </c>
      <c r="J114" s="8">
        <f>Мособлдума_одномандатный_6[[#This Row],[Число избирателей, внесенных в список на момент окончания голосования]]</f>
        <v>1243</v>
      </c>
      <c r="K114">
        <v>1000</v>
      </c>
      <c r="M114">
        <v>465</v>
      </c>
      <c r="N114">
        <v>16</v>
      </c>
      <c r="O114" s="3">
        <f t="shared" si="31"/>
        <v>38.696701528559935</v>
      </c>
      <c r="P114" s="3">
        <f t="shared" si="32"/>
        <v>1.2872083668543846</v>
      </c>
      <c r="Q114">
        <v>519</v>
      </c>
      <c r="R114">
        <v>16</v>
      </c>
      <c r="S114">
        <v>460</v>
      </c>
      <c r="T114" s="1">
        <f t="shared" si="33"/>
        <v>476</v>
      </c>
      <c r="U114" s="3">
        <f t="shared" si="34"/>
        <v>3.3613445378151261</v>
      </c>
      <c r="V114">
        <v>28</v>
      </c>
      <c r="W114" s="3">
        <f t="shared" si="35"/>
        <v>5.882352941176471</v>
      </c>
      <c r="X114">
        <v>448</v>
      </c>
      <c r="Y114">
        <v>0</v>
      </c>
      <c r="Z114">
        <v>0</v>
      </c>
      <c r="AA114">
        <v>112</v>
      </c>
      <c r="AB114" s="3">
        <f t="shared" si="36"/>
        <v>23.529411764705884</v>
      </c>
      <c r="AC114">
        <v>14</v>
      </c>
      <c r="AD114" s="3">
        <f t="shared" si="37"/>
        <v>2.9411764705882355</v>
      </c>
      <c r="AE114">
        <v>12</v>
      </c>
      <c r="AF114" s="3">
        <f t="shared" si="38"/>
        <v>2.5210084033613445</v>
      </c>
      <c r="AG114">
        <v>26</v>
      </c>
      <c r="AH114" s="3">
        <f t="shared" si="39"/>
        <v>5.46218487394958</v>
      </c>
      <c r="AI114">
        <v>145</v>
      </c>
      <c r="AJ114" s="3">
        <f t="shared" si="40"/>
        <v>30.462184873949578</v>
      </c>
      <c r="AK114">
        <v>23</v>
      </c>
      <c r="AL114" s="3">
        <f t="shared" si="29"/>
        <v>4.8319327731092434</v>
      </c>
      <c r="AM114">
        <v>116</v>
      </c>
      <c r="AN114" s="3">
        <f t="shared" si="41"/>
        <v>24.369747899159663</v>
      </c>
      <c r="AO114" t="s">
        <v>370</v>
      </c>
      <c r="AP114" s="72">
        <f>Дума_партии[[#This Row],[КОИБ]]</f>
        <v>2017</v>
      </c>
      <c r="AQ114" s="1">
        <f>IF(Дума_партии[[#This Row],[Наблюдателей]]=0,"",Дума_партии[[#This Row],[Наблюдателей]])</f>
        <v>1</v>
      </c>
      <c r="AR114"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-15.30275229357801</v>
      </c>
      <c r="AS114" s="10">
        <f>2*(Мособлдума_одномандатный_6[[#This Row],[Лазутина Лариса Евгеньевна]]-(AC$203/100)*Мособлдума_одномандатный_6[[#This Row],[Число действительных бюллетеней]])</f>
        <v>-20.01600000000002</v>
      </c>
      <c r="AT114" s="10">
        <f>(Мособлдума_одномандатный_6[[#This Row],[Вброс]]+Мособлдума_одномандатный_6[[#This Row],[Перекладывание]])/2</f>
        <v>-17.659376146789015</v>
      </c>
    </row>
    <row r="115" spans="2:46" x14ac:dyDescent="0.4">
      <c r="B115" t="s">
        <v>74</v>
      </c>
      <c r="C115" t="s">
        <v>366</v>
      </c>
      <c r="D115" t="s">
        <v>227</v>
      </c>
      <c r="E115" t="s">
        <v>244</v>
      </c>
      <c r="F115" s="1">
        <f t="shared" ca="1" si="30"/>
        <v>1969</v>
      </c>
      <c r="G115" s="8" t="str">
        <f>Дума_партии[[#This Row],[Местоположение]]</f>
        <v>Одинцово</v>
      </c>
      <c r="H115" s="2" t="str">
        <f>LEFT(Мособлдума_одномандатный_6[[#This Row],[tik]],4)&amp;"."&amp;IF(ISNUMBER(VALUE(RIGHT(Мособлдума_одномандатный_6[[#This Row],[tik]]))),RIGHT(Мособлдума_одномандатный_6[[#This Row],[tik]]),"")</f>
        <v>Один.2</v>
      </c>
      <c r="I115">
        <v>1451</v>
      </c>
      <c r="J115" s="8">
        <f>Мособлдума_одномандатный_6[[#This Row],[Число избирателей, внесенных в список на момент окончания голосования]]</f>
        <v>1451</v>
      </c>
      <c r="K115">
        <v>1200</v>
      </c>
      <c r="M115">
        <v>523</v>
      </c>
      <c r="N115">
        <v>60</v>
      </c>
      <c r="O115" s="3">
        <f t="shared" si="31"/>
        <v>40.17918676774638</v>
      </c>
      <c r="P115" s="3">
        <f t="shared" si="32"/>
        <v>4.1350792556857341</v>
      </c>
      <c r="Q115">
        <v>617</v>
      </c>
      <c r="R115">
        <v>60</v>
      </c>
      <c r="S115">
        <v>523</v>
      </c>
      <c r="T115" s="1">
        <f t="shared" si="33"/>
        <v>583</v>
      </c>
      <c r="U115" s="3">
        <f t="shared" si="34"/>
        <v>10.291595197255575</v>
      </c>
      <c r="V115">
        <v>15</v>
      </c>
      <c r="W115" s="3">
        <f t="shared" si="35"/>
        <v>2.5728987993138936</v>
      </c>
      <c r="X115">
        <v>568</v>
      </c>
      <c r="Y115">
        <v>0</v>
      </c>
      <c r="Z115">
        <v>0</v>
      </c>
      <c r="AA115">
        <v>101</v>
      </c>
      <c r="AB115" s="3">
        <f t="shared" si="36"/>
        <v>17.324185248713551</v>
      </c>
      <c r="AC115">
        <v>21</v>
      </c>
      <c r="AD115" s="3">
        <f t="shared" si="37"/>
        <v>3.6020583190394513</v>
      </c>
      <c r="AE115">
        <v>7</v>
      </c>
      <c r="AF115" s="3">
        <f t="shared" si="38"/>
        <v>1.2006861063464838</v>
      </c>
      <c r="AG115">
        <v>19</v>
      </c>
      <c r="AH115" s="3">
        <f t="shared" si="39"/>
        <v>3.2590051457975986</v>
      </c>
      <c r="AI115">
        <v>315</v>
      </c>
      <c r="AJ115" s="3">
        <f t="shared" si="40"/>
        <v>54.03087478559177</v>
      </c>
      <c r="AK115">
        <v>25</v>
      </c>
      <c r="AL115" s="3">
        <f t="shared" si="29"/>
        <v>4.2881646655231558</v>
      </c>
      <c r="AM115">
        <v>80</v>
      </c>
      <c r="AN115" s="3">
        <f t="shared" si="41"/>
        <v>13.722126929674099</v>
      </c>
      <c r="AO115" t="s">
        <v>370</v>
      </c>
      <c r="AP115" s="72">
        <f>Дума_партии[[#This Row],[КОИБ]]</f>
        <v>2017</v>
      </c>
      <c r="AQ115" s="1" t="str">
        <f>IF(Дума_партии[[#This Row],[Наблюдателей]]=0,"",Дума_партии[[#This Row],[Наблюдателей]])</f>
        <v/>
      </c>
      <c r="AR115"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181.1498470948012</v>
      </c>
      <c r="AS115" s="10">
        <f>2*(Мособлдума_одномандатный_6[[#This Row],[Лазутина Лариса Евгеньевна]]-(AC$203/100)*Мособлдума_одномандатный_6[[#This Row],[Число действительных бюллетеней]])</f>
        <v>236.94399999999996</v>
      </c>
      <c r="AT115" s="10">
        <f>(Мособлдума_одномандатный_6[[#This Row],[Вброс]]+Мособлдума_одномандатный_6[[#This Row],[Перекладывание]])/2</f>
        <v>209.04692354740058</v>
      </c>
    </row>
    <row r="116" spans="2:46" x14ac:dyDescent="0.4">
      <c r="B116" t="s">
        <v>74</v>
      </c>
      <c r="C116" t="s">
        <v>366</v>
      </c>
      <c r="D116" t="s">
        <v>227</v>
      </c>
      <c r="E116" t="s">
        <v>245</v>
      </c>
      <c r="F116" s="1">
        <f t="shared" ca="1" si="30"/>
        <v>1970</v>
      </c>
      <c r="G116" s="8" t="str">
        <f>Дума_партии[[#This Row],[Местоположение]]</f>
        <v>Одинцово</v>
      </c>
      <c r="H116" s="2" t="str">
        <f>LEFT(Мособлдума_одномандатный_6[[#This Row],[tik]],4)&amp;"."&amp;IF(ISNUMBER(VALUE(RIGHT(Мособлдума_одномандатный_6[[#This Row],[tik]]))),RIGHT(Мособлдума_одномандатный_6[[#This Row],[tik]]),"")</f>
        <v>Один.2</v>
      </c>
      <c r="I116">
        <v>1179</v>
      </c>
      <c r="J116" s="8">
        <f>Мособлдума_одномандатный_6[[#This Row],[Число избирателей, внесенных в список на момент окончания голосования]]</f>
        <v>1179</v>
      </c>
      <c r="K116">
        <v>1000</v>
      </c>
      <c r="M116">
        <v>378</v>
      </c>
      <c r="N116">
        <v>56</v>
      </c>
      <c r="O116" s="3">
        <f t="shared" si="31"/>
        <v>36.810856658184903</v>
      </c>
      <c r="P116" s="3">
        <f t="shared" si="32"/>
        <v>4.7497879558948259</v>
      </c>
      <c r="Q116">
        <v>566</v>
      </c>
      <c r="R116">
        <v>56</v>
      </c>
      <c r="S116">
        <v>378</v>
      </c>
      <c r="T116" s="1">
        <f t="shared" si="33"/>
        <v>434</v>
      </c>
      <c r="U116" s="3">
        <f t="shared" si="34"/>
        <v>12.903225806451612</v>
      </c>
      <c r="V116">
        <v>29</v>
      </c>
      <c r="W116" s="3">
        <f t="shared" si="35"/>
        <v>6.6820276497695854</v>
      </c>
      <c r="X116">
        <v>405</v>
      </c>
      <c r="Y116">
        <v>0</v>
      </c>
      <c r="Z116">
        <v>0</v>
      </c>
      <c r="AA116">
        <v>86</v>
      </c>
      <c r="AB116" s="3">
        <f t="shared" si="36"/>
        <v>19.815668202764979</v>
      </c>
      <c r="AC116">
        <v>13</v>
      </c>
      <c r="AD116" s="3">
        <f t="shared" si="37"/>
        <v>2.9953917050691246</v>
      </c>
      <c r="AE116">
        <v>9</v>
      </c>
      <c r="AF116" s="3">
        <f t="shared" si="38"/>
        <v>2.0737327188940093</v>
      </c>
      <c r="AG116">
        <v>20</v>
      </c>
      <c r="AH116" s="3">
        <f t="shared" si="39"/>
        <v>4.6082949308755756</v>
      </c>
      <c r="AI116">
        <v>189</v>
      </c>
      <c r="AJ116" s="3">
        <f t="shared" si="40"/>
        <v>43.548387096774192</v>
      </c>
      <c r="AK116">
        <v>15</v>
      </c>
      <c r="AL116" s="3">
        <f t="shared" si="29"/>
        <v>3.4562211981566819</v>
      </c>
      <c r="AM116">
        <v>73</v>
      </c>
      <c r="AN116" s="3">
        <f t="shared" si="41"/>
        <v>16.820276497695854</v>
      </c>
      <c r="AO116" t="s">
        <v>370</v>
      </c>
      <c r="AP116" s="72">
        <f>Дума_партии[[#This Row],[КОИБ]]</f>
        <v>2017</v>
      </c>
      <c r="AQ116" s="1" t="str">
        <f>IF(Дума_партии[[#This Row],[Наблюдателей]]=0,"",Дума_партии[[#This Row],[Наблюдателей]])</f>
        <v/>
      </c>
      <c r="AR116"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74.724770642201804</v>
      </c>
      <c r="AS116" s="10">
        <f>2*(Мособлдума_одномандатный_6[[#This Row],[Лазутина Лариса Евгеньевна]]-(AC$203/100)*Мособлдума_одномандатный_6[[#This Row],[Число действительных бюллетеней]])</f>
        <v>97.739999999999952</v>
      </c>
      <c r="AT116" s="10">
        <f>(Мособлдума_одномандатный_6[[#This Row],[Вброс]]+Мособлдума_одномандатный_6[[#This Row],[Перекладывание]])/2</f>
        <v>86.232385321100878</v>
      </c>
    </row>
    <row r="117" spans="2:46" x14ac:dyDescent="0.4">
      <c r="B117" t="s">
        <v>74</v>
      </c>
      <c r="C117" t="s">
        <v>366</v>
      </c>
      <c r="D117" t="s">
        <v>227</v>
      </c>
      <c r="E117" t="s">
        <v>246</v>
      </c>
      <c r="F117" s="1">
        <f t="shared" ca="1" si="30"/>
        <v>1971</v>
      </c>
      <c r="G117" s="8" t="str">
        <f>Дума_партии[[#This Row],[Местоположение]]</f>
        <v>Одинцово</v>
      </c>
      <c r="H117" s="2" t="str">
        <f>LEFT(Мособлдума_одномандатный_6[[#This Row],[tik]],4)&amp;"."&amp;IF(ISNUMBER(VALUE(RIGHT(Мособлдума_одномандатный_6[[#This Row],[tik]]))),RIGHT(Мособлдума_одномандатный_6[[#This Row],[tik]]),"")</f>
        <v>Один.2</v>
      </c>
      <c r="I117">
        <v>2285</v>
      </c>
      <c r="J117" s="8">
        <f>Мособлдума_одномандатный_6[[#This Row],[Число избирателей, внесенных в список на момент окончания голосования]]</f>
        <v>2285</v>
      </c>
      <c r="K117">
        <v>2000</v>
      </c>
      <c r="M117">
        <v>767</v>
      </c>
      <c r="N117">
        <v>17</v>
      </c>
      <c r="O117" s="3">
        <f t="shared" si="31"/>
        <v>34.310722100656456</v>
      </c>
      <c r="P117" s="3">
        <f t="shared" si="32"/>
        <v>0.74398249452954046</v>
      </c>
      <c r="Q117">
        <v>1216</v>
      </c>
      <c r="R117">
        <v>17</v>
      </c>
      <c r="S117">
        <v>767</v>
      </c>
      <c r="T117" s="1">
        <f t="shared" si="33"/>
        <v>784</v>
      </c>
      <c r="U117" s="3">
        <f t="shared" si="34"/>
        <v>2.1683673469387754</v>
      </c>
      <c r="V117">
        <v>36</v>
      </c>
      <c r="W117" s="3">
        <f t="shared" si="35"/>
        <v>4.591836734693878</v>
      </c>
      <c r="X117">
        <v>748</v>
      </c>
      <c r="Y117">
        <v>0</v>
      </c>
      <c r="Z117">
        <v>0</v>
      </c>
      <c r="AA117">
        <v>173</v>
      </c>
      <c r="AB117" s="3">
        <f t="shared" si="36"/>
        <v>22.066326530612244</v>
      </c>
      <c r="AC117">
        <v>33</v>
      </c>
      <c r="AD117" s="3">
        <f t="shared" si="37"/>
        <v>4.2091836734693882</v>
      </c>
      <c r="AE117">
        <v>30</v>
      </c>
      <c r="AF117" s="3">
        <f t="shared" si="38"/>
        <v>3.8265306122448979</v>
      </c>
      <c r="AG117">
        <v>26</v>
      </c>
      <c r="AH117" s="3">
        <f t="shared" si="39"/>
        <v>3.3163265306122449</v>
      </c>
      <c r="AI117">
        <v>273</v>
      </c>
      <c r="AJ117" s="3">
        <f t="shared" si="40"/>
        <v>34.821428571428569</v>
      </c>
      <c r="AK117">
        <v>48</v>
      </c>
      <c r="AL117" s="3">
        <f t="shared" si="29"/>
        <v>6.1224489795918364</v>
      </c>
      <c r="AM117">
        <v>165</v>
      </c>
      <c r="AN117" s="3">
        <f t="shared" si="41"/>
        <v>21.045918367346939</v>
      </c>
      <c r="AO117" t="s">
        <v>370</v>
      </c>
      <c r="AP117" s="72">
        <f>Дума_партии[[#This Row],[КОИБ]]</f>
        <v>2017</v>
      </c>
      <c r="AQ117" s="1" t="str">
        <f>IF(Дума_партии[[#This Row],[Наблюдателей]]=0,"",Дума_партии[[#This Row],[Наблюдателей]])</f>
        <v/>
      </c>
      <c r="AR117"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21.700305810397509</v>
      </c>
      <c r="AS117" s="10">
        <f>2*(Мособлдума_одномандатный_6[[#This Row],[Лазутина Лариса Евгеньевна]]-(AC$203/100)*Мособлдума_одномандатный_6[[#This Row],[Число действительных бюллетеней]])</f>
        <v>28.383999999999901</v>
      </c>
      <c r="AT117" s="10">
        <f>(Мособлдума_одномандатный_6[[#This Row],[Вброс]]+Мособлдума_одномандатный_6[[#This Row],[Перекладывание]])/2</f>
        <v>25.042152905198705</v>
      </c>
    </row>
    <row r="118" spans="2:46" x14ac:dyDescent="0.4">
      <c r="B118" t="s">
        <v>74</v>
      </c>
      <c r="C118" t="s">
        <v>366</v>
      </c>
      <c r="D118" t="s">
        <v>227</v>
      </c>
      <c r="E118" t="s">
        <v>247</v>
      </c>
      <c r="F118" s="1">
        <f t="shared" ca="1" si="30"/>
        <v>1972</v>
      </c>
      <c r="G118" s="8" t="str">
        <f>Дума_партии[[#This Row],[Местоположение]]</f>
        <v>Одинцово</v>
      </c>
      <c r="H118" s="2" t="str">
        <f>LEFT(Мособлдума_одномандатный_6[[#This Row],[tik]],4)&amp;"."&amp;IF(ISNUMBER(VALUE(RIGHT(Мособлдума_одномандатный_6[[#This Row],[tik]]))),RIGHT(Мособлдума_одномандатный_6[[#This Row],[tik]]),"")</f>
        <v>Один.2</v>
      </c>
      <c r="I118">
        <v>1678</v>
      </c>
      <c r="J118" s="8">
        <f>Мособлдума_одномандатный_6[[#This Row],[Число избирателей, внесенных в список на момент окончания голосования]]</f>
        <v>1678</v>
      </c>
      <c r="K118">
        <v>1100</v>
      </c>
      <c r="M118">
        <v>739</v>
      </c>
      <c r="N118">
        <v>10</v>
      </c>
      <c r="O118" s="3">
        <f t="shared" si="31"/>
        <v>44.636471990464841</v>
      </c>
      <c r="P118" s="3">
        <f t="shared" si="32"/>
        <v>0.59594755661501786</v>
      </c>
      <c r="Q118">
        <v>351</v>
      </c>
      <c r="R118">
        <v>10</v>
      </c>
      <c r="S118">
        <v>711</v>
      </c>
      <c r="T118" s="1">
        <f t="shared" si="33"/>
        <v>721</v>
      </c>
      <c r="U118" s="3">
        <f t="shared" si="34"/>
        <v>1.3869625520110958</v>
      </c>
      <c r="V118">
        <v>39</v>
      </c>
      <c r="W118" s="3">
        <f t="shared" si="35"/>
        <v>5.4091539528432735</v>
      </c>
      <c r="X118">
        <v>682</v>
      </c>
      <c r="Y118">
        <v>0</v>
      </c>
      <c r="Z118">
        <v>0</v>
      </c>
      <c r="AA118">
        <v>116</v>
      </c>
      <c r="AB118" s="3">
        <f t="shared" si="36"/>
        <v>16.08876560332871</v>
      </c>
      <c r="AC118">
        <v>18</v>
      </c>
      <c r="AD118" s="3">
        <f t="shared" si="37"/>
        <v>2.496532593619972</v>
      </c>
      <c r="AE118">
        <v>15</v>
      </c>
      <c r="AF118" s="3">
        <f t="shared" si="38"/>
        <v>2.0804438280166435</v>
      </c>
      <c r="AG118">
        <v>21</v>
      </c>
      <c r="AH118" s="3">
        <f t="shared" si="39"/>
        <v>2.912621359223301</v>
      </c>
      <c r="AI118">
        <v>333</v>
      </c>
      <c r="AJ118" s="3">
        <f t="shared" si="40"/>
        <v>46.185852981969489</v>
      </c>
      <c r="AK118">
        <v>46</v>
      </c>
      <c r="AL118" s="3">
        <f t="shared" si="29"/>
        <v>6.3800277392510401</v>
      </c>
      <c r="AM118">
        <v>133</v>
      </c>
      <c r="AN118" s="3">
        <f t="shared" si="41"/>
        <v>18.446601941747574</v>
      </c>
      <c r="AO118" t="s">
        <v>370</v>
      </c>
      <c r="AP118" s="72">
        <f>Дума_партии[[#This Row],[КОИБ]]</f>
        <v>2017</v>
      </c>
      <c r="AQ118" s="1" t="str">
        <f>IF(Дума_партии[[#This Row],[Наблюдателей]]=0,"",Дума_партии[[#This Row],[Наблюдателей]])</f>
        <v/>
      </c>
      <c r="AR118"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148.3608562691131</v>
      </c>
      <c r="AS118" s="10">
        <f>2*(Мособлдума_одномандатный_6[[#This Row],[Лазутина Лариса Евгеньевна]]-(AC$203/100)*Мособлдума_одномандатный_6[[#This Row],[Число действительных бюллетеней]])</f>
        <v>194.05599999999998</v>
      </c>
      <c r="AT118" s="10">
        <f>(Мособлдума_одномандатный_6[[#This Row],[Вброс]]+Мособлдума_одномандатный_6[[#This Row],[Перекладывание]])/2</f>
        <v>171.20842813455653</v>
      </c>
    </row>
    <row r="119" spans="2:46" x14ac:dyDescent="0.4">
      <c r="B119" t="s">
        <v>74</v>
      </c>
      <c r="C119" t="s">
        <v>366</v>
      </c>
      <c r="D119" t="s">
        <v>227</v>
      </c>
      <c r="E119" t="s">
        <v>248</v>
      </c>
      <c r="F119" s="1">
        <f t="shared" ca="1" si="30"/>
        <v>1974</v>
      </c>
      <c r="G119" s="8" t="str">
        <f>Дума_партии[[#This Row],[Местоположение]]</f>
        <v>Одинцово</v>
      </c>
      <c r="H119" s="2" t="str">
        <f>LEFT(Мособлдума_одномандатный_6[[#This Row],[tik]],4)&amp;"."&amp;IF(ISNUMBER(VALUE(RIGHT(Мособлдума_одномандатный_6[[#This Row],[tik]]))),RIGHT(Мособлдума_одномандатный_6[[#This Row],[tik]]),"")</f>
        <v>Один.2</v>
      </c>
      <c r="I119">
        <v>2025</v>
      </c>
      <c r="J119" s="8">
        <f>Мособлдума_одномандатный_6[[#This Row],[Число избирателей, внесенных в список на момент окончания голосования]]</f>
        <v>2025</v>
      </c>
      <c r="K119">
        <v>1800</v>
      </c>
      <c r="M119">
        <v>685</v>
      </c>
      <c r="N119">
        <v>7</v>
      </c>
      <c r="O119" s="3">
        <f t="shared" si="31"/>
        <v>34.172839506172842</v>
      </c>
      <c r="P119" s="3">
        <f t="shared" si="32"/>
        <v>0.34567901234567899</v>
      </c>
      <c r="Q119">
        <v>1108</v>
      </c>
      <c r="R119">
        <v>7</v>
      </c>
      <c r="S119">
        <v>685</v>
      </c>
      <c r="T119" s="1">
        <f t="shared" si="33"/>
        <v>692</v>
      </c>
      <c r="U119" s="3">
        <f t="shared" si="34"/>
        <v>1.0115606936416186</v>
      </c>
      <c r="V119">
        <v>38</v>
      </c>
      <c r="W119" s="3">
        <f t="shared" si="35"/>
        <v>5.4913294797687859</v>
      </c>
      <c r="X119">
        <v>654</v>
      </c>
      <c r="Y119">
        <v>0</v>
      </c>
      <c r="Z119">
        <v>0</v>
      </c>
      <c r="AA119">
        <v>160</v>
      </c>
      <c r="AB119" s="3">
        <f t="shared" si="36"/>
        <v>23.121387283236995</v>
      </c>
      <c r="AC119">
        <v>26</v>
      </c>
      <c r="AD119" s="3">
        <f t="shared" si="37"/>
        <v>3.7572254335260116</v>
      </c>
      <c r="AE119">
        <v>20</v>
      </c>
      <c r="AF119" s="3">
        <f t="shared" si="38"/>
        <v>2.8901734104046244</v>
      </c>
      <c r="AG119">
        <v>19</v>
      </c>
      <c r="AH119" s="3">
        <f t="shared" si="39"/>
        <v>2.745664739884393</v>
      </c>
      <c r="AI119">
        <v>218</v>
      </c>
      <c r="AJ119" s="3">
        <f t="shared" si="40"/>
        <v>31.502890173410403</v>
      </c>
      <c r="AK119">
        <v>48</v>
      </c>
      <c r="AL119" s="3">
        <f t="shared" si="29"/>
        <v>6.9364161849710984</v>
      </c>
      <c r="AM119">
        <v>163</v>
      </c>
      <c r="AN119" s="3">
        <f t="shared" si="41"/>
        <v>23.554913294797689</v>
      </c>
      <c r="AO119" t="s">
        <v>370</v>
      </c>
      <c r="AP119" s="72">
        <f>Дума_партии[[#This Row],[КОИБ]]</f>
        <v>2017</v>
      </c>
      <c r="AQ119" s="1">
        <f>IF(Дума_партии[[#This Row],[Наблюдателей]]=0,"",Дума_партии[[#This Row],[Наблюдателей]])</f>
        <v>1</v>
      </c>
      <c r="AR119"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-12.666666666666714</v>
      </c>
      <c r="AS119" s="10">
        <f>2*(Мособлдума_одномандатный_6[[#This Row],[Лазутина Лариса Евгеньевна]]-(AC$203/100)*Мособлдума_одномандатный_6[[#This Row],[Число действительных бюллетеней]])</f>
        <v>-16.56800000000004</v>
      </c>
      <c r="AT119" s="10">
        <f>(Мособлдума_одномандатный_6[[#This Row],[Вброс]]+Мособлдума_одномандатный_6[[#This Row],[Перекладывание]])/2</f>
        <v>-14.617333333333377</v>
      </c>
    </row>
    <row r="120" spans="2:46" s="18" customFormat="1" x14ac:dyDescent="0.4">
      <c r="B120" s="18" t="s">
        <v>74</v>
      </c>
      <c r="C120" s="18" t="s">
        <v>366</v>
      </c>
      <c r="D120" s="18" t="s">
        <v>227</v>
      </c>
      <c r="E120" s="18" t="s">
        <v>354</v>
      </c>
      <c r="F120" s="18">
        <f ca="1">SUMPRODUCT(MID(0&amp;E120, LARGE(INDEX(ISNUMBER(--MID(E120, ROW(INDIRECT("1:"&amp;LEN(E120))), 1)) * ROW(INDIRECT("1:"&amp;LEN(E120))), 0), ROW(INDIRECT("1:"&amp;LEN(E120))))+1, 1) * 10^ROW(INDIRECT("1:"&amp;LEN(E120)))/10)</f>
        <v>1976</v>
      </c>
      <c r="G120" s="19" t="str">
        <f>Дума_партии[[#This Row],[Местоположение]]</f>
        <v>Одинцово</v>
      </c>
      <c r="H120" s="32" t="str">
        <f>LEFT(Мособлдума_одномандатный_6[[#This Row],[tik]],4)&amp;"."&amp;IF(ISNUMBER(VALUE(RIGHT(Мособлдума_одномандатный_6[[#This Row],[tik]]))),RIGHT(Мособлдума_одномандатный_6[[#This Row],[tik]]),"")</f>
        <v>Один.2</v>
      </c>
      <c r="J120" s="19">
        <f>Мособлдума_одномандатный_6[[#This Row],[Число избирателей, внесенных в список на момент окончания голосования]]</f>
        <v>0</v>
      </c>
      <c r="O120" s="20" t="e">
        <f>100*(M120+N120)/I120</f>
        <v>#DIV/0!</v>
      </c>
      <c r="P120" s="20" t="e">
        <f>100*N120/I120</f>
        <v>#DIV/0!</v>
      </c>
      <c r="T120" s="18">
        <f>R120+S120</f>
        <v>0</v>
      </c>
      <c r="U120" s="20" t="e">
        <f>100*R120/T120</f>
        <v>#DIV/0!</v>
      </c>
      <c r="W120" s="20" t="e">
        <f>100*V120/T120</f>
        <v>#DIV/0!</v>
      </c>
      <c r="AB120" s="20" t="e">
        <f>100*AA120/$T120</f>
        <v>#DIV/0!</v>
      </c>
      <c r="AD120" s="20" t="e">
        <f>100*AC120/$T120</f>
        <v>#DIV/0!</v>
      </c>
      <c r="AF120" s="20" t="e">
        <f>100*AE120/$T120</f>
        <v>#DIV/0!</v>
      </c>
      <c r="AH120" s="20" t="e">
        <f>100*AG120/$T120</f>
        <v>#DIV/0!</v>
      </c>
      <c r="AJ120" s="20" t="e">
        <f>100*AI120/$T120</f>
        <v>#DIV/0!</v>
      </c>
      <c r="AK120" s="20"/>
      <c r="AL120" s="20" t="e">
        <f>100*AK120/$T120</f>
        <v>#DIV/0!</v>
      </c>
      <c r="AN120" s="20" t="e">
        <f>100*AM120/$T120</f>
        <v>#DIV/0!</v>
      </c>
      <c r="AP120" s="76" t="str">
        <f>Дума_партии[[#This Row],[КОИБ]]</f>
        <v>N</v>
      </c>
      <c r="AQ120" s="18">
        <f>IF(Дума_партии[[#This Row],[Наблюдателей]]=0,"",Дума_партии[[#This Row],[Наблюдателей]])</f>
        <v>2</v>
      </c>
      <c r="AR120" s="21">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0</v>
      </c>
      <c r="AS120" s="21">
        <f>2*(Мособлдума_одномандатный_6[[#This Row],[Лазутина Лариса Евгеньевна]]-(AC$203/100)*Мособлдума_одномандатный_6[[#This Row],[Число действительных бюллетеней]])</f>
        <v>0</v>
      </c>
      <c r="AT120" s="21">
        <f>(Мособлдума_одномандатный_6[[#This Row],[Вброс]]+Мособлдума_одномандатный_6[[#This Row],[Перекладывание]])/2</f>
        <v>0</v>
      </c>
    </row>
    <row r="121" spans="2:46" x14ac:dyDescent="0.4">
      <c r="B121" t="s">
        <v>74</v>
      </c>
      <c r="C121" t="s">
        <v>366</v>
      </c>
      <c r="D121" t="s">
        <v>227</v>
      </c>
      <c r="E121" t="s">
        <v>249</v>
      </c>
      <c r="F121" s="1">
        <f t="shared" ca="1" si="30"/>
        <v>1978</v>
      </c>
      <c r="G121" s="8" t="str">
        <f>Дума_партии[[#This Row],[Местоположение]]</f>
        <v>Одинцово</v>
      </c>
      <c r="H121" s="2" t="str">
        <f>LEFT(Мособлдума_одномандатный_6[[#This Row],[tik]],4)&amp;"."&amp;IF(ISNUMBER(VALUE(RIGHT(Мособлдума_одномандатный_6[[#This Row],[tik]]))),RIGHT(Мособлдума_одномандатный_6[[#This Row],[tik]]),"")</f>
        <v>Один.2</v>
      </c>
      <c r="I121">
        <v>2430</v>
      </c>
      <c r="J121" s="8">
        <f>Мособлдума_одномандатный_6[[#This Row],[Число избирателей, внесенных в список на момент окончания голосования]]</f>
        <v>2430</v>
      </c>
      <c r="K121">
        <v>2000</v>
      </c>
      <c r="M121">
        <v>818</v>
      </c>
      <c r="N121">
        <v>108</v>
      </c>
      <c r="O121" s="3">
        <f t="shared" si="31"/>
        <v>38.10699588477366</v>
      </c>
      <c r="P121" s="3">
        <f t="shared" si="32"/>
        <v>4.4444444444444446</v>
      </c>
      <c r="Q121">
        <v>1074</v>
      </c>
      <c r="R121">
        <v>107</v>
      </c>
      <c r="S121">
        <v>818</v>
      </c>
      <c r="T121" s="1">
        <f t="shared" si="33"/>
        <v>925</v>
      </c>
      <c r="U121" s="3">
        <f t="shared" si="34"/>
        <v>11.567567567567568</v>
      </c>
      <c r="V121">
        <v>82</v>
      </c>
      <c r="W121" s="3">
        <f t="shared" si="35"/>
        <v>8.8648648648648649</v>
      </c>
      <c r="X121">
        <v>843</v>
      </c>
      <c r="Y121">
        <v>0</v>
      </c>
      <c r="Z121">
        <v>0</v>
      </c>
      <c r="AA121">
        <v>157</v>
      </c>
      <c r="AB121" s="3">
        <f t="shared" si="36"/>
        <v>16.972972972972972</v>
      </c>
      <c r="AC121">
        <v>38</v>
      </c>
      <c r="AD121" s="3">
        <f t="shared" si="37"/>
        <v>4.1081081081081079</v>
      </c>
      <c r="AE121">
        <v>20</v>
      </c>
      <c r="AF121" s="3">
        <f t="shared" si="38"/>
        <v>2.1621621621621623</v>
      </c>
      <c r="AG121">
        <v>22</v>
      </c>
      <c r="AH121" s="3">
        <f t="shared" si="39"/>
        <v>2.3783783783783785</v>
      </c>
      <c r="AI121">
        <v>365</v>
      </c>
      <c r="AJ121" s="3">
        <f t="shared" si="40"/>
        <v>39.45945945945946</v>
      </c>
      <c r="AK121">
        <v>67</v>
      </c>
      <c r="AL121" s="3">
        <f t="shared" si="29"/>
        <v>7.243243243243243</v>
      </c>
      <c r="AM121">
        <v>174</v>
      </c>
      <c r="AN121" s="3">
        <f t="shared" si="41"/>
        <v>18.810810810810811</v>
      </c>
      <c r="AO121" t="s">
        <v>370</v>
      </c>
      <c r="AP121" s="72" t="str">
        <f>Дума_партии[[#This Row],[КОИБ]]</f>
        <v>N</v>
      </c>
      <c r="AQ121" s="1" t="str">
        <f>IF(Дума_партии[[#This Row],[Наблюдателей]]=0,"",Дума_партии[[#This Row],[Наблюдателей]])</f>
        <v/>
      </c>
      <c r="AR121"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112.11314984709475</v>
      </c>
      <c r="AS121" s="10">
        <f>2*(Мособлдума_одномандатный_6[[#This Row],[Лазутина Лариса Евгеньевна]]-(AC$203/100)*Мособлдума_одномандатный_6[[#This Row],[Число действительных бюллетеней]])</f>
        <v>146.64400000000001</v>
      </c>
      <c r="AT121" s="10">
        <f>(Мособлдума_одномандатный_6[[#This Row],[Вброс]]+Мособлдума_одномандатный_6[[#This Row],[Перекладывание]])/2</f>
        <v>129.37857492354738</v>
      </c>
    </row>
    <row r="122" spans="2:46" x14ac:dyDescent="0.4">
      <c r="B122" t="s">
        <v>74</v>
      </c>
      <c r="C122" t="s">
        <v>366</v>
      </c>
      <c r="D122" t="s">
        <v>227</v>
      </c>
      <c r="E122" t="s">
        <v>250</v>
      </c>
      <c r="F122" s="1">
        <f t="shared" ca="1" si="30"/>
        <v>1979</v>
      </c>
      <c r="G122" s="8" t="str">
        <f>Дума_партии[[#This Row],[Местоположение]]</f>
        <v>Одинцово</v>
      </c>
      <c r="H122" s="2" t="str">
        <f>LEFT(Мособлдума_одномандатный_6[[#This Row],[tik]],4)&amp;"."&amp;IF(ISNUMBER(VALUE(RIGHT(Мособлдума_одномандатный_6[[#This Row],[tik]]))),RIGHT(Мособлдума_одномандатный_6[[#This Row],[tik]]),"")</f>
        <v>Один.2</v>
      </c>
      <c r="I122">
        <v>2209</v>
      </c>
      <c r="J122" s="8">
        <f>Мособлдума_одномандатный_6[[#This Row],[Число избирателей, внесенных в список на момент окончания голосования]]</f>
        <v>2209</v>
      </c>
      <c r="K122">
        <v>2000</v>
      </c>
      <c r="M122">
        <v>664</v>
      </c>
      <c r="N122">
        <v>15</v>
      </c>
      <c r="O122" s="3">
        <f t="shared" si="31"/>
        <v>30.737890448166592</v>
      </c>
      <c r="P122" s="3">
        <f t="shared" si="32"/>
        <v>0.67904028972385699</v>
      </c>
      <c r="Q122">
        <v>1321</v>
      </c>
      <c r="R122">
        <v>15</v>
      </c>
      <c r="S122">
        <v>664</v>
      </c>
      <c r="T122" s="1">
        <f t="shared" si="33"/>
        <v>679</v>
      </c>
      <c r="U122" s="3">
        <f t="shared" si="34"/>
        <v>2.2091310751104567</v>
      </c>
      <c r="V122">
        <v>31</v>
      </c>
      <c r="W122" s="3">
        <f t="shared" si="35"/>
        <v>4.5655375552282766</v>
      </c>
      <c r="X122">
        <v>648</v>
      </c>
      <c r="Y122">
        <v>0</v>
      </c>
      <c r="Z122">
        <v>0</v>
      </c>
      <c r="AA122">
        <v>175</v>
      </c>
      <c r="AB122" s="3">
        <f t="shared" si="36"/>
        <v>25.773195876288661</v>
      </c>
      <c r="AC122">
        <v>27</v>
      </c>
      <c r="AD122" s="3">
        <f t="shared" si="37"/>
        <v>3.9764359351988219</v>
      </c>
      <c r="AE122">
        <v>21</v>
      </c>
      <c r="AF122" s="3">
        <f t="shared" si="38"/>
        <v>3.0927835051546393</v>
      </c>
      <c r="AG122">
        <v>19</v>
      </c>
      <c r="AH122" s="3">
        <f t="shared" si="39"/>
        <v>2.7982326951399115</v>
      </c>
      <c r="AI122">
        <v>229</v>
      </c>
      <c r="AJ122" s="3">
        <f t="shared" si="40"/>
        <v>33.726067746686304</v>
      </c>
      <c r="AK122">
        <v>46</v>
      </c>
      <c r="AL122" s="3">
        <f t="shared" si="29"/>
        <v>6.7746686303387333</v>
      </c>
      <c r="AM122">
        <v>131</v>
      </c>
      <c r="AN122" s="3">
        <f t="shared" si="41"/>
        <v>19.293078055964653</v>
      </c>
      <c r="AO122" t="s">
        <v>370</v>
      </c>
      <c r="AP122" s="72">
        <f>Дума_партии[[#This Row],[КОИБ]]</f>
        <v>2017</v>
      </c>
      <c r="AQ122" s="1" t="str">
        <f>IF(Дума_партии[[#This Row],[Наблюдателей]]=0,"",Дума_партии[[#This Row],[Наблюдателей]])</f>
        <v/>
      </c>
      <c r="AR122"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7.3272171253822194</v>
      </c>
      <c r="AS122" s="10">
        <f>2*(Мособлдума_одномандатный_6[[#This Row],[Лазутина Лариса Евгеньевна]]-(AC$203/100)*Мособлдума_одномандатный_6[[#This Row],[Число действительных бюллетеней]])</f>
        <v>9.5839999999999463</v>
      </c>
      <c r="AT122" s="10">
        <f>(Мособлдума_одномандатный_6[[#This Row],[Вброс]]+Мособлдума_одномандатный_6[[#This Row],[Перекладывание]])/2</f>
        <v>8.4556085626910829</v>
      </c>
    </row>
    <row r="123" spans="2:46" x14ac:dyDescent="0.4">
      <c r="B123" t="s">
        <v>74</v>
      </c>
      <c r="C123" t="s">
        <v>366</v>
      </c>
      <c r="D123" t="s">
        <v>227</v>
      </c>
      <c r="E123" t="s">
        <v>251</v>
      </c>
      <c r="F123" s="1">
        <f t="shared" ca="1" si="30"/>
        <v>1981</v>
      </c>
      <c r="G123" s="8" t="str">
        <f>Дума_партии[[#This Row],[Местоположение]]</f>
        <v>Одинцово</v>
      </c>
      <c r="H123" s="2" t="str">
        <f>LEFT(Мособлдума_одномандатный_6[[#This Row],[tik]],4)&amp;"."&amp;IF(ISNUMBER(VALUE(RIGHT(Мособлдума_одномандатный_6[[#This Row],[tik]]))),RIGHT(Мособлдума_одномандатный_6[[#This Row],[tik]]),"")</f>
        <v>Один.2</v>
      </c>
      <c r="I123">
        <v>2330</v>
      </c>
      <c r="J123" s="8">
        <f>Мособлдума_одномандатный_6[[#This Row],[Число избирателей, внесенных в список на момент окончания голосования]]</f>
        <v>2330</v>
      </c>
      <c r="K123">
        <v>2000</v>
      </c>
      <c r="M123">
        <v>1078</v>
      </c>
      <c r="N123">
        <v>134</v>
      </c>
      <c r="O123" s="3">
        <f t="shared" si="31"/>
        <v>52.017167381974247</v>
      </c>
      <c r="P123" s="3">
        <f t="shared" si="32"/>
        <v>5.7510729613733904</v>
      </c>
      <c r="Q123">
        <v>788</v>
      </c>
      <c r="R123">
        <v>134</v>
      </c>
      <c r="S123">
        <v>1078</v>
      </c>
      <c r="T123" s="1">
        <f t="shared" si="33"/>
        <v>1212</v>
      </c>
      <c r="U123" s="3">
        <f t="shared" si="34"/>
        <v>11.056105610561056</v>
      </c>
      <c r="V123">
        <v>52</v>
      </c>
      <c r="W123" s="3">
        <f t="shared" si="35"/>
        <v>4.2904290429042904</v>
      </c>
      <c r="X123">
        <v>1160</v>
      </c>
      <c r="Y123">
        <v>0</v>
      </c>
      <c r="Z123">
        <v>0</v>
      </c>
      <c r="AA123">
        <v>186</v>
      </c>
      <c r="AB123" s="3">
        <f t="shared" si="36"/>
        <v>15.346534653465346</v>
      </c>
      <c r="AC123">
        <v>50</v>
      </c>
      <c r="AD123" s="3">
        <f t="shared" si="37"/>
        <v>4.1254125412541258</v>
      </c>
      <c r="AE123">
        <v>18</v>
      </c>
      <c r="AF123" s="3">
        <f t="shared" si="38"/>
        <v>1.4851485148514851</v>
      </c>
      <c r="AG123">
        <v>28</v>
      </c>
      <c r="AH123" s="3">
        <f t="shared" si="39"/>
        <v>2.3102310231023102</v>
      </c>
      <c r="AI123">
        <v>647</v>
      </c>
      <c r="AJ123" s="3">
        <f t="shared" si="40"/>
        <v>53.382838283828384</v>
      </c>
      <c r="AK123">
        <v>48</v>
      </c>
      <c r="AL123" s="3">
        <f t="shared" si="29"/>
        <v>3.9603960396039604</v>
      </c>
      <c r="AM123">
        <v>183</v>
      </c>
      <c r="AN123" s="3">
        <f t="shared" si="41"/>
        <v>15.099009900990099</v>
      </c>
      <c r="AO123" t="s">
        <v>370</v>
      </c>
      <c r="AP123" s="72">
        <f>Дума_партии[[#This Row],[КОИБ]]</f>
        <v>2017</v>
      </c>
      <c r="AQ123" s="1" t="str">
        <f>IF(Дума_партии[[#This Row],[Наблюдателей]]=0,"",Дума_партии[[#This Row],[Наблюдателей]])</f>
        <v/>
      </c>
      <c r="AR123"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375.59633027522932</v>
      </c>
      <c r="AS123" s="10">
        <f>2*(Мособлдума_одномандатный_6[[#This Row],[Лазутина Лариса Евгеньевна]]-(AC$203/100)*Мособлдума_одномандатный_6[[#This Row],[Число действительных бюллетеней]])</f>
        <v>491.28</v>
      </c>
      <c r="AT123" s="10">
        <f>(Мособлдума_одномандатный_6[[#This Row],[Вброс]]+Мособлдума_одномандатный_6[[#This Row],[Перекладывание]])/2</f>
        <v>433.43816513761465</v>
      </c>
    </row>
    <row r="124" spans="2:46" x14ac:dyDescent="0.4">
      <c r="B124" t="s">
        <v>74</v>
      </c>
      <c r="C124" t="s">
        <v>366</v>
      </c>
      <c r="D124" t="s">
        <v>227</v>
      </c>
      <c r="E124" t="s">
        <v>252</v>
      </c>
      <c r="F124" s="1">
        <f t="shared" ca="1" si="30"/>
        <v>1983</v>
      </c>
      <c r="G124" s="8" t="str">
        <f>Дума_партии[[#This Row],[Местоположение]]</f>
        <v>Одинцово</v>
      </c>
      <c r="H124" s="2" t="str">
        <f>LEFT(Мособлдума_одномандатный_6[[#This Row],[tik]],4)&amp;"."&amp;IF(ISNUMBER(VALUE(RIGHT(Мособлдума_одномандатный_6[[#This Row],[tik]]))),RIGHT(Мособлдума_одномандатный_6[[#This Row],[tik]]),"")</f>
        <v>Один.2</v>
      </c>
      <c r="I124">
        <v>2013</v>
      </c>
      <c r="J124" s="8">
        <f>Мособлдума_одномандатный_6[[#This Row],[Число избирателей, внесенных в список на момент окончания голосования]]</f>
        <v>2013</v>
      </c>
      <c r="K124">
        <v>1600</v>
      </c>
      <c r="M124">
        <v>666</v>
      </c>
      <c r="N124">
        <v>31</v>
      </c>
      <c r="O124" s="3">
        <f t="shared" si="31"/>
        <v>34.624937903626432</v>
      </c>
      <c r="P124" s="3">
        <f t="shared" si="32"/>
        <v>1.5399900645802285</v>
      </c>
      <c r="Q124">
        <v>903</v>
      </c>
      <c r="R124">
        <v>31</v>
      </c>
      <c r="S124">
        <v>635</v>
      </c>
      <c r="T124" s="1">
        <f t="shared" si="33"/>
        <v>666</v>
      </c>
      <c r="U124" s="3">
        <f t="shared" si="34"/>
        <v>4.6546546546546548</v>
      </c>
      <c r="V124">
        <v>28</v>
      </c>
      <c r="W124" s="3">
        <f t="shared" si="35"/>
        <v>4.2042042042042045</v>
      </c>
      <c r="X124">
        <v>638</v>
      </c>
      <c r="Y124">
        <v>0</v>
      </c>
      <c r="Z124">
        <v>0</v>
      </c>
      <c r="AA124">
        <v>131</v>
      </c>
      <c r="AB124" s="3">
        <f t="shared" si="36"/>
        <v>19.66966966966967</v>
      </c>
      <c r="AC124">
        <v>21</v>
      </c>
      <c r="AD124" s="3">
        <f t="shared" si="37"/>
        <v>3.1531531531531534</v>
      </c>
      <c r="AE124">
        <v>16</v>
      </c>
      <c r="AF124" s="3">
        <f t="shared" si="38"/>
        <v>2.4024024024024024</v>
      </c>
      <c r="AG124">
        <v>28</v>
      </c>
      <c r="AH124" s="3">
        <f t="shared" si="39"/>
        <v>4.2042042042042045</v>
      </c>
      <c r="AI124">
        <v>270</v>
      </c>
      <c r="AJ124" s="3">
        <f t="shared" si="40"/>
        <v>40.54054054054054</v>
      </c>
      <c r="AK124">
        <v>44</v>
      </c>
      <c r="AL124" s="3">
        <f t="shared" ref="AL124:AL155" si="42">100*AK124/$T124</f>
        <v>6.6066066066066069</v>
      </c>
      <c r="AM124">
        <v>128</v>
      </c>
      <c r="AN124" s="3">
        <f t="shared" si="41"/>
        <v>19.219219219219219</v>
      </c>
      <c r="AO124" t="s">
        <v>370</v>
      </c>
      <c r="AP124" s="72">
        <f>Дума_партии[[#This Row],[КОИБ]]</f>
        <v>2017</v>
      </c>
      <c r="AQ124" s="1">
        <f>IF(Дума_партии[[#This Row],[Наблюдателей]]=0,"",Дума_партии[[#This Row],[Наблюдателей]])</f>
        <v>1</v>
      </c>
      <c r="AR124"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75.30886850152902</v>
      </c>
      <c r="AS124" s="10">
        <f>2*(Мособлдума_одномандатный_6[[#This Row],[Лазутина Лариса Евгеньевна]]-(AC$203/100)*Мособлдума_одномандатный_6[[#This Row],[Число действительных бюллетеней]])</f>
        <v>98.503999999999962</v>
      </c>
      <c r="AT124" s="10">
        <f>(Мособлдума_одномандатный_6[[#This Row],[Вброс]]+Мособлдума_одномандатный_6[[#This Row],[Перекладывание]])/2</f>
        <v>86.906434250764491</v>
      </c>
    </row>
    <row r="125" spans="2:46" x14ac:dyDescent="0.4">
      <c r="B125" t="s">
        <v>74</v>
      </c>
      <c r="C125" t="s">
        <v>366</v>
      </c>
      <c r="D125" t="s">
        <v>227</v>
      </c>
      <c r="E125" t="s">
        <v>253</v>
      </c>
      <c r="F125" s="1">
        <f t="shared" ref="F125:F156" ca="1" si="43">SUMPRODUCT(MID(0&amp;E125, LARGE(INDEX(ISNUMBER(--MID(E125, ROW(INDIRECT("1:"&amp;LEN(E125))), 1)) * ROW(INDIRECT("1:"&amp;LEN(E125))), 0), ROW(INDIRECT("1:"&amp;LEN(E125))))+1, 1) * 10^ROW(INDIRECT("1:"&amp;LEN(E125)))/10)</f>
        <v>1985</v>
      </c>
      <c r="G125" s="8" t="str">
        <f>Дума_партии[[#This Row],[Местоположение]]</f>
        <v>Одинцово</v>
      </c>
      <c r="H125" s="2" t="str">
        <f>LEFT(Мособлдума_одномандатный_6[[#This Row],[tik]],4)&amp;"."&amp;IF(ISNUMBER(VALUE(RIGHT(Мособлдума_одномандатный_6[[#This Row],[tik]]))),RIGHT(Мособлдума_одномандатный_6[[#This Row],[tik]]),"")</f>
        <v>Один.2</v>
      </c>
      <c r="I125">
        <v>2023</v>
      </c>
      <c r="J125" s="8">
        <f>Мособлдума_одномандатный_6[[#This Row],[Число избирателей, внесенных в список на момент окончания голосования]]</f>
        <v>2023</v>
      </c>
      <c r="K125">
        <v>1800</v>
      </c>
      <c r="M125">
        <v>701</v>
      </c>
      <c r="N125">
        <v>9</v>
      </c>
      <c r="O125" s="3">
        <f t="shared" ref="O125:O156" si="44">100*(M125+N125)/I125</f>
        <v>35.096391497775578</v>
      </c>
      <c r="P125" s="3">
        <f t="shared" ref="P125:P156" si="45">100*N125/I125</f>
        <v>0.44488383588729608</v>
      </c>
      <c r="Q125">
        <v>1090</v>
      </c>
      <c r="R125">
        <v>9</v>
      </c>
      <c r="S125">
        <v>695</v>
      </c>
      <c r="T125" s="1">
        <f t="shared" ref="T125:T156" si="46">R125+S125</f>
        <v>704</v>
      </c>
      <c r="U125" s="3">
        <f t="shared" ref="U125:U156" si="47">100*R125/T125</f>
        <v>1.2784090909090908</v>
      </c>
      <c r="V125">
        <v>44</v>
      </c>
      <c r="W125" s="3">
        <f t="shared" ref="W125:W156" si="48">100*V125/T125</f>
        <v>6.25</v>
      </c>
      <c r="X125">
        <v>660</v>
      </c>
      <c r="Y125">
        <v>0</v>
      </c>
      <c r="Z125">
        <v>0</v>
      </c>
      <c r="AA125">
        <v>138</v>
      </c>
      <c r="AB125" s="3">
        <f t="shared" ref="AB125:AB156" si="49">100*AA125/$T125</f>
        <v>19.602272727272727</v>
      </c>
      <c r="AC125">
        <v>21</v>
      </c>
      <c r="AD125" s="3">
        <f t="shared" ref="AD125:AD156" si="50">100*AC125/$T125</f>
        <v>2.9829545454545454</v>
      </c>
      <c r="AE125">
        <v>21</v>
      </c>
      <c r="AF125" s="3">
        <f t="shared" ref="AF125:AF156" si="51">100*AE125/$T125</f>
        <v>2.9829545454545454</v>
      </c>
      <c r="AG125">
        <v>28</v>
      </c>
      <c r="AH125" s="3">
        <f t="shared" ref="AH125:AH156" si="52">100*AG125/$T125</f>
        <v>3.9772727272727271</v>
      </c>
      <c r="AI125">
        <v>263</v>
      </c>
      <c r="AJ125" s="3">
        <f t="shared" ref="AJ125:AJ156" si="53">100*AI125/$T125</f>
        <v>37.357954545454547</v>
      </c>
      <c r="AK125">
        <v>56</v>
      </c>
      <c r="AL125" s="3">
        <f t="shared" si="42"/>
        <v>7.9545454545454541</v>
      </c>
      <c r="AM125">
        <v>133</v>
      </c>
      <c r="AN125" s="3">
        <f t="shared" ref="AN125:AN156" si="54">100*AM125/$T125</f>
        <v>18.892045454545453</v>
      </c>
      <c r="AO125" t="s">
        <v>370</v>
      </c>
      <c r="AP125" s="72">
        <f>Дума_партии[[#This Row],[КОИБ]]</f>
        <v>2017</v>
      </c>
      <c r="AQ125" s="1" t="str">
        <f>IF(Дума_партии[[#This Row],[Наблюдателей]]=0,"",Дума_партии[[#This Row],[Наблюдателей]])</f>
        <v/>
      </c>
      <c r="AR125"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52.966360856269063</v>
      </c>
      <c r="AS125" s="10">
        <f>2*(Мособлдума_одномандатный_6[[#This Row],[Лазутина Лариса Евгеньевна]]-(AC$203/100)*Мособлдума_одномандатный_6[[#This Row],[Число действительных бюллетеней]])</f>
        <v>69.279999999999973</v>
      </c>
      <c r="AT125" s="10">
        <f>(Мособлдума_одномандатный_6[[#This Row],[Вброс]]+Мособлдума_одномандатный_6[[#This Row],[Перекладывание]])/2</f>
        <v>61.123180428134518</v>
      </c>
    </row>
    <row r="126" spans="2:46" x14ac:dyDescent="0.4">
      <c r="B126" t="s">
        <v>74</v>
      </c>
      <c r="C126" t="s">
        <v>366</v>
      </c>
      <c r="D126" t="s">
        <v>227</v>
      </c>
      <c r="E126" t="s">
        <v>254</v>
      </c>
      <c r="F126" s="1">
        <f t="shared" ca="1" si="43"/>
        <v>1987</v>
      </c>
      <c r="G126" s="8" t="str">
        <f>Дума_партии[[#This Row],[Местоположение]]</f>
        <v>Одинцово</v>
      </c>
      <c r="H126" s="2" t="str">
        <f>LEFT(Мособлдума_одномандатный_6[[#This Row],[tik]],4)&amp;"."&amp;IF(ISNUMBER(VALUE(RIGHT(Мособлдума_одномандатный_6[[#This Row],[tik]]))),RIGHT(Мособлдума_одномандатный_6[[#This Row],[tik]]),"")</f>
        <v>Один.2</v>
      </c>
      <c r="I126">
        <v>2032</v>
      </c>
      <c r="J126" s="8">
        <f>Мособлдума_одномандатный_6[[#This Row],[Число избирателей, внесенных в список на момент окончания голосования]]</f>
        <v>2032</v>
      </c>
      <c r="K126">
        <v>1500</v>
      </c>
      <c r="M126">
        <v>791</v>
      </c>
      <c r="N126">
        <v>77</v>
      </c>
      <c r="O126" s="3">
        <f t="shared" si="44"/>
        <v>42.716535433070867</v>
      </c>
      <c r="P126" s="3">
        <f t="shared" si="45"/>
        <v>3.7893700787401574</v>
      </c>
      <c r="Q126">
        <v>632</v>
      </c>
      <c r="R126">
        <v>77</v>
      </c>
      <c r="S126">
        <v>714</v>
      </c>
      <c r="T126" s="1">
        <f t="shared" si="46"/>
        <v>791</v>
      </c>
      <c r="U126" s="3">
        <f t="shared" si="47"/>
        <v>9.7345132743362832</v>
      </c>
      <c r="V126">
        <v>78</v>
      </c>
      <c r="W126" s="3">
        <f t="shared" si="48"/>
        <v>9.8609355246523389</v>
      </c>
      <c r="X126">
        <v>713</v>
      </c>
      <c r="Y126">
        <v>0</v>
      </c>
      <c r="Z126">
        <v>0</v>
      </c>
      <c r="AA126">
        <v>153</v>
      </c>
      <c r="AB126" s="3">
        <f t="shared" si="49"/>
        <v>19.342604298356513</v>
      </c>
      <c r="AC126">
        <v>26</v>
      </c>
      <c r="AD126" s="3">
        <f t="shared" si="50"/>
        <v>3.2869785082174463</v>
      </c>
      <c r="AE126">
        <v>13</v>
      </c>
      <c r="AF126" s="3">
        <f t="shared" si="51"/>
        <v>1.6434892541087232</v>
      </c>
      <c r="AG126">
        <v>25</v>
      </c>
      <c r="AH126" s="3">
        <f t="shared" si="52"/>
        <v>3.1605562579013906</v>
      </c>
      <c r="AI126">
        <v>303</v>
      </c>
      <c r="AJ126" s="3">
        <f t="shared" si="53"/>
        <v>38.305941845764856</v>
      </c>
      <c r="AK126">
        <v>52</v>
      </c>
      <c r="AL126" s="3">
        <f t="shared" si="42"/>
        <v>6.5739570164348926</v>
      </c>
      <c r="AM126">
        <v>141</v>
      </c>
      <c r="AN126" s="3">
        <f t="shared" si="54"/>
        <v>17.825537294563844</v>
      </c>
      <c r="AO126" t="s">
        <v>370</v>
      </c>
      <c r="AP126" s="72">
        <f>Дума_партии[[#This Row],[КОИБ]]</f>
        <v>2017</v>
      </c>
      <c r="AQ126" s="1">
        <f>IF(Дума_партии[[#This Row],[Наблюдателей]]=0,"",Дума_партии[[#This Row],[Наблюдателей]])</f>
        <v>2</v>
      </c>
      <c r="AR126"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86.08868501529048</v>
      </c>
      <c r="AS126" s="10">
        <f>2*(Мособлдума_одномандатный_6[[#This Row],[Лазутина Лариса Евгеньевна]]-(AC$203/100)*Мособлдума_одномандатный_6[[#This Row],[Число действительных бюллетеней]])</f>
        <v>112.60399999999998</v>
      </c>
      <c r="AT126" s="10">
        <f>(Мособлдума_одномандатный_6[[#This Row],[Вброс]]+Мособлдума_одномандатный_6[[#This Row],[Перекладывание]])/2</f>
        <v>99.346342507645232</v>
      </c>
    </row>
    <row r="127" spans="2:46" x14ac:dyDescent="0.4">
      <c r="B127" t="s">
        <v>74</v>
      </c>
      <c r="C127" t="s">
        <v>366</v>
      </c>
      <c r="D127" t="s">
        <v>227</v>
      </c>
      <c r="E127" t="s">
        <v>255</v>
      </c>
      <c r="F127" s="1">
        <f t="shared" ca="1" si="43"/>
        <v>1989</v>
      </c>
      <c r="G127" s="8" t="str">
        <f>Дума_партии[[#This Row],[Местоположение]]</f>
        <v>Одинцово</v>
      </c>
      <c r="H127" s="2" t="str">
        <f>LEFT(Мособлдума_одномандатный_6[[#This Row],[tik]],4)&amp;"."&amp;IF(ISNUMBER(VALUE(RIGHT(Мособлдума_одномандатный_6[[#This Row],[tik]]))),RIGHT(Мособлдума_одномандатный_6[[#This Row],[tik]]),"")</f>
        <v>Один.2</v>
      </c>
      <c r="I127">
        <v>1759</v>
      </c>
      <c r="J127" s="8">
        <f>Мособлдума_одномандатный_6[[#This Row],[Число избирателей, внесенных в список на момент окончания голосования]]</f>
        <v>1759</v>
      </c>
      <c r="K127">
        <v>1500</v>
      </c>
      <c r="M127">
        <v>623</v>
      </c>
      <c r="N127">
        <v>75</v>
      </c>
      <c r="O127" s="3">
        <f t="shared" si="44"/>
        <v>39.681637293916999</v>
      </c>
      <c r="P127" s="3">
        <f t="shared" si="45"/>
        <v>4.2637862421830581</v>
      </c>
      <c r="Q127">
        <v>800</v>
      </c>
      <c r="R127">
        <v>73</v>
      </c>
      <c r="S127">
        <v>623</v>
      </c>
      <c r="T127" s="1">
        <f t="shared" si="46"/>
        <v>696</v>
      </c>
      <c r="U127" s="3">
        <f t="shared" si="47"/>
        <v>10.488505747126437</v>
      </c>
      <c r="V127">
        <v>34</v>
      </c>
      <c r="W127" s="3">
        <f t="shared" si="48"/>
        <v>4.8850574712643677</v>
      </c>
      <c r="X127">
        <v>662</v>
      </c>
      <c r="Y127">
        <v>2</v>
      </c>
      <c r="Z127">
        <v>0</v>
      </c>
      <c r="AA127">
        <v>114</v>
      </c>
      <c r="AB127" s="3">
        <f t="shared" si="49"/>
        <v>16.379310344827587</v>
      </c>
      <c r="AC127">
        <v>28</v>
      </c>
      <c r="AD127" s="3">
        <f t="shared" si="50"/>
        <v>4.0229885057471266</v>
      </c>
      <c r="AE127">
        <v>15</v>
      </c>
      <c r="AF127" s="3">
        <f t="shared" si="51"/>
        <v>2.1551724137931036</v>
      </c>
      <c r="AG127">
        <v>22</v>
      </c>
      <c r="AH127" s="3">
        <f t="shared" si="52"/>
        <v>3.1609195402298851</v>
      </c>
      <c r="AI127">
        <v>286</v>
      </c>
      <c r="AJ127" s="3">
        <f t="shared" si="53"/>
        <v>41.091954022988503</v>
      </c>
      <c r="AK127">
        <v>50</v>
      </c>
      <c r="AL127" s="3">
        <f t="shared" si="42"/>
        <v>7.1839080459770113</v>
      </c>
      <c r="AM127">
        <v>147</v>
      </c>
      <c r="AN127" s="3">
        <f t="shared" si="54"/>
        <v>21.120689655172413</v>
      </c>
      <c r="AO127" t="s">
        <v>370</v>
      </c>
      <c r="AP127" s="72">
        <f>Дума_партии[[#This Row],[КОИБ]]</f>
        <v>2017</v>
      </c>
      <c r="AQ127" s="1" t="str">
        <f>IF(Дума_партии[[#This Row],[Наблюдателей]]=0,"",Дума_партии[[#This Row],[Наблюдателей]])</f>
        <v/>
      </c>
      <c r="AR127"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87.076452599388347</v>
      </c>
      <c r="AS127" s="10">
        <f>2*(Мособлдума_одномандатный_6[[#This Row],[Лазутина Лариса Евгеньевна]]-(AC$203/100)*Мособлдума_одномандатный_6[[#This Row],[Число действительных бюллетеней]])</f>
        <v>113.89599999999996</v>
      </c>
      <c r="AT127" s="10">
        <f>(Мособлдума_одномандатный_6[[#This Row],[Вброс]]+Мособлдума_одномандатный_6[[#This Row],[Перекладывание]])/2</f>
        <v>100.48622629969415</v>
      </c>
    </row>
    <row r="128" spans="2:46" x14ac:dyDescent="0.4">
      <c r="B128" t="s">
        <v>74</v>
      </c>
      <c r="C128" t="s">
        <v>366</v>
      </c>
      <c r="D128" t="s">
        <v>227</v>
      </c>
      <c r="E128" t="s">
        <v>256</v>
      </c>
      <c r="F128" s="1">
        <f t="shared" ca="1" si="43"/>
        <v>1991</v>
      </c>
      <c r="G128" s="8" t="str">
        <f>Дума_партии[[#This Row],[Местоположение]]</f>
        <v>Одинцово</v>
      </c>
      <c r="H128" s="2" t="str">
        <f>LEFT(Мособлдума_одномандатный_6[[#This Row],[tik]],4)&amp;"."&amp;IF(ISNUMBER(VALUE(RIGHT(Мособлдума_одномандатный_6[[#This Row],[tik]]))),RIGHT(Мособлдума_одномандатный_6[[#This Row],[tik]]),"")</f>
        <v>Один.2</v>
      </c>
      <c r="I128">
        <v>2293</v>
      </c>
      <c r="J128" s="8">
        <f>Мособлдума_одномандатный_6[[#This Row],[Число избирателей, внесенных в список на момент окончания голосования]]</f>
        <v>2293</v>
      </c>
      <c r="K128">
        <v>2000</v>
      </c>
      <c r="M128">
        <v>791</v>
      </c>
      <c r="N128">
        <v>33</v>
      </c>
      <c r="O128" s="3">
        <f t="shared" si="44"/>
        <v>35.935455734845178</v>
      </c>
      <c r="P128" s="3">
        <f t="shared" si="45"/>
        <v>1.439162668992586</v>
      </c>
      <c r="Q128">
        <v>1176</v>
      </c>
      <c r="R128">
        <v>33</v>
      </c>
      <c r="S128">
        <v>791</v>
      </c>
      <c r="T128" s="1">
        <f t="shared" si="46"/>
        <v>824</v>
      </c>
      <c r="U128" s="3">
        <f t="shared" si="47"/>
        <v>4.0048543689320386</v>
      </c>
      <c r="V128">
        <v>33</v>
      </c>
      <c r="W128" s="3">
        <f t="shared" si="48"/>
        <v>4.0048543689320386</v>
      </c>
      <c r="X128">
        <v>791</v>
      </c>
      <c r="Y128">
        <v>0</v>
      </c>
      <c r="Z128">
        <v>0</v>
      </c>
      <c r="AA128">
        <v>178</v>
      </c>
      <c r="AB128" s="3">
        <f t="shared" si="49"/>
        <v>21.601941747572816</v>
      </c>
      <c r="AC128">
        <v>47</v>
      </c>
      <c r="AD128" s="3">
        <f t="shared" si="50"/>
        <v>5.7038834951456314</v>
      </c>
      <c r="AE128">
        <v>24</v>
      </c>
      <c r="AF128" s="3">
        <f t="shared" si="51"/>
        <v>2.912621359223301</v>
      </c>
      <c r="AG128">
        <v>35</v>
      </c>
      <c r="AH128" s="3">
        <f t="shared" si="52"/>
        <v>4.2475728155339807</v>
      </c>
      <c r="AI128">
        <v>281</v>
      </c>
      <c r="AJ128" s="3">
        <f t="shared" si="53"/>
        <v>34.101941747572816</v>
      </c>
      <c r="AK128">
        <v>55</v>
      </c>
      <c r="AL128" s="3">
        <f t="shared" si="42"/>
        <v>6.674757281553398</v>
      </c>
      <c r="AM128">
        <v>171</v>
      </c>
      <c r="AN128" s="3">
        <f t="shared" si="54"/>
        <v>20.752427184466018</v>
      </c>
      <c r="AO128" t="s">
        <v>370</v>
      </c>
      <c r="AP128" s="72">
        <f>Дума_партии[[#This Row],[КОИБ]]</f>
        <v>2017</v>
      </c>
      <c r="AQ128" s="1" t="str">
        <f>IF(Дума_партии[[#This Row],[Наблюдателей]]=0,"",Дума_партии[[#This Row],[Наблюдателей]])</f>
        <v/>
      </c>
      <c r="AR128"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11.183486238532055</v>
      </c>
      <c r="AS128" s="10">
        <f>2*(Мособлдума_одномандатный_6[[#This Row],[Лазутина Лариса Евгеньевна]]-(AC$203/100)*Мособлдума_одномандатный_6[[#This Row],[Число действительных бюллетеней]])</f>
        <v>14.627999999999929</v>
      </c>
      <c r="AT128" s="10">
        <f>(Мособлдума_одномандатный_6[[#This Row],[Вброс]]+Мособлдума_одномандатный_6[[#This Row],[Перекладывание]])/2</f>
        <v>12.905743119265992</v>
      </c>
    </row>
    <row r="129" spans="2:46" x14ac:dyDescent="0.4">
      <c r="B129" t="s">
        <v>74</v>
      </c>
      <c r="C129" t="s">
        <v>366</v>
      </c>
      <c r="D129" t="s">
        <v>227</v>
      </c>
      <c r="E129" t="s">
        <v>257</v>
      </c>
      <c r="F129" s="1">
        <f t="shared" ca="1" si="43"/>
        <v>1993</v>
      </c>
      <c r="G129" s="8" t="str">
        <f>Дума_партии[[#This Row],[Местоположение]]</f>
        <v>Одинцово</v>
      </c>
      <c r="H129" s="2" t="str">
        <f>LEFT(Мособлдума_одномандатный_6[[#This Row],[tik]],4)&amp;"."&amp;IF(ISNUMBER(VALUE(RIGHT(Мособлдума_одномандатный_6[[#This Row],[tik]]))),RIGHT(Мособлдума_одномандатный_6[[#This Row],[tik]]),"")</f>
        <v>Один.2</v>
      </c>
      <c r="I129">
        <v>2176</v>
      </c>
      <c r="J129" s="8">
        <f>Мособлдума_одномандатный_6[[#This Row],[Число избирателей, внесенных в список на момент окончания голосования]]</f>
        <v>2176</v>
      </c>
      <c r="K129">
        <v>2000</v>
      </c>
      <c r="M129">
        <v>716</v>
      </c>
      <c r="N129">
        <v>4</v>
      </c>
      <c r="O129" s="3">
        <f t="shared" si="44"/>
        <v>33.088235294117645</v>
      </c>
      <c r="P129" s="3">
        <f t="shared" si="45"/>
        <v>0.18382352941176472</v>
      </c>
      <c r="Q129">
        <v>1280</v>
      </c>
      <c r="R129">
        <v>4</v>
      </c>
      <c r="S129">
        <v>716</v>
      </c>
      <c r="T129" s="1">
        <f t="shared" si="46"/>
        <v>720</v>
      </c>
      <c r="U129" s="3">
        <f t="shared" si="47"/>
        <v>0.55555555555555558</v>
      </c>
      <c r="V129">
        <v>61</v>
      </c>
      <c r="W129" s="3">
        <f t="shared" si="48"/>
        <v>8.4722222222222214</v>
      </c>
      <c r="X129">
        <v>659</v>
      </c>
      <c r="Y129">
        <v>0</v>
      </c>
      <c r="Z129">
        <v>0</v>
      </c>
      <c r="AA129">
        <v>166</v>
      </c>
      <c r="AB129" s="3">
        <f t="shared" si="49"/>
        <v>23.055555555555557</v>
      </c>
      <c r="AC129">
        <v>27</v>
      </c>
      <c r="AD129" s="3">
        <f t="shared" si="50"/>
        <v>3.75</v>
      </c>
      <c r="AE129">
        <v>22</v>
      </c>
      <c r="AF129" s="3">
        <f t="shared" si="51"/>
        <v>3.0555555555555554</v>
      </c>
      <c r="AG129">
        <v>27</v>
      </c>
      <c r="AH129" s="3">
        <f t="shared" si="52"/>
        <v>3.75</v>
      </c>
      <c r="AI129">
        <v>228</v>
      </c>
      <c r="AJ129" s="3">
        <f t="shared" si="53"/>
        <v>31.666666666666668</v>
      </c>
      <c r="AK129">
        <v>50</v>
      </c>
      <c r="AL129" s="3">
        <f t="shared" si="42"/>
        <v>6.9444444444444446</v>
      </c>
      <c r="AM129">
        <v>139</v>
      </c>
      <c r="AN129" s="3">
        <f t="shared" si="54"/>
        <v>19.305555555555557</v>
      </c>
      <c r="AO129" t="s">
        <v>370</v>
      </c>
      <c r="AP129" s="72">
        <f>Дума_партии[[#This Row],[КОИБ]]</f>
        <v>2017</v>
      </c>
      <c r="AQ129" s="1" t="str">
        <f>IF(Дума_партии[[#This Row],[Наблюдателей]]=0,"",Дума_партии[[#This Row],[Наблюдателей]])</f>
        <v/>
      </c>
      <c r="AR129"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-2.1406727828804151E-2</v>
      </c>
      <c r="AS129" s="10">
        <f>2*(Мособлдума_одномандатный_6[[#This Row],[Лазутина Лариса Евгеньевна]]-(AC$203/100)*Мособлдума_одномандатный_6[[#This Row],[Число действительных бюллетеней]])</f>
        <v>-2.8000000000020009E-2</v>
      </c>
      <c r="AT129" s="10">
        <f>(Мособлдума_одномандатный_6[[#This Row],[Вброс]]+Мособлдума_одномандатный_6[[#This Row],[Перекладывание]])/2</f>
        <v>-2.470336391441208E-2</v>
      </c>
    </row>
    <row r="130" spans="2:46" x14ac:dyDescent="0.4">
      <c r="B130" t="s">
        <v>74</v>
      </c>
      <c r="C130" t="s">
        <v>366</v>
      </c>
      <c r="D130" t="s">
        <v>227</v>
      </c>
      <c r="E130" t="s">
        <v>258</v>
      </c>
      <c r="F130" s="1">
        <f t="shared" ca="1" si="43"/>
        <v>1995</v>
      </c>
      <c r="G130" s="8" t="str">
        <f>Дума_партии[[#This Row],[Местоположение]]</f>
        <v>Одинцово</v>
      </c>
      <c r="H130" s="2" t="str">
        <f>LEFT(Мособлдума_одномандатный_6[[#This Row],[tik]],4)&amp;"."&amp;IF(ISNUMBER(VALUE(RIGHT(Мособлдума_одномандатный_6[[#This Row],[tik]]))),RIGHT(Мособлдума_одномандатный_6[[#This Row],[tik]]),"")</f>
        <v>Один.2</v>
      </c>
      <c r="I130">
        <v>1998</v>
      </c>
      <c r="J130" s="8">
        <f>Мособлдума_одномандатный_6[[#This Row],[Число избирателей, внесенных в список на момент окончания голосования]]</f>
        <v>1998</v>
      </c>
      <c r="K130">
        <v>1500</v>
      </c>
      <c r="M130">
        <v>702</v>
      </c>
      <c r="N130">
        <v>4</v>
      </c>
      <c r="O130" s="3">
        <f t="shared" si="44"/>
        <v>35.335335335335337</v>
      </c>
      <c r="P130" s="3">
        <f t="shared" si="45"/>
        <v>0.20020020020020021</v>
      </c>
      <c r="Q130">
        <v>794</v>
      </c>
      <c r="R130">
        <v>4</v>
      </c>
      <c r="S130">
        <v>702</v>
      </c>
      <c r="T130" s="1">
        <f t="shared" si="46"/>
        <v>706</v>
      </c>
      <c r="U130" s="3">
        <f t="shared" si="47"/>
        <v>0.56657223796033995</v>
      </c>
      <c r="V130">
        <v>49</v>
      </c>
      <c r="W130" s="3">
        <f t="shared" si="48"/>
        <v>6.9405099150141645</v>
      </c>
      <c r="X130">
        <v>657</v>
      </c>
      <c r="Y130">
        <v>0</v>
      </c>
      <c r="Z130">
        <v>0</v>
      </c>
      <c r="AA130">
        <v>161</v>
      </c>
      <c r="AB130" s="3">
        <f t="shared" si="49"/>
        <v>22.804532577903682</v>
      </c>
      <c r="AC130">
        <v>30</v>
      </c>
      <c r="AD130" s="3">
        <f t="shared" si="50"/>
        <v>4.2492917847025495</v>
      </c>
      <c r="AE130">
        <v>28</v>
      </c>
      <c r="AF130" s="3">
        <f t="shared" si="51"/>
        <v>3.9660056657223794</v>
      </c>
      <c r="AG130">
        <v>39</v>
      </c>
      <c r="AH130" s="3">
        <f t="shared" si="52"/>
        <v>5.524079320113314</v>
      </c>
      <c r="AI130">
        <v>224</v>
      </c>
      <c r="AJ130" s="3">
        <f t="shared" si="53"/>
        <v>31.728045325779036</v>
      </c>
      <c r="AK130">
        <v>55</v>
      </c>
      <c r="AL130" s="3">
        <f t="shared" si="42"/>
        <v>7.7903682719546739</v>
      </c>
      <c r="AM130">
        <v>120</v>
      </c>
      <c r="AN130" s="3">
        <f t="shared" si="54"/>
        <v>16.997167138810198</v>
      </c>
      <c r="AO130" t="s">
        <v>370</v>
      </c>
      <c r="AP130" s="72">
        <f>Дума_партии[[#This Row],[КОИБ]]</f>
        <v>2017</v>
      </c>
      <c r="AQ130" s="1" t="str">
        <f>IF(Дума_партии[[#This Row],[Наблюдателей]]=0,"",Дума_партии[[#This Row],[Наблюдателей]])</f>
        <v/>
      </c>
      <c r="AR130"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-5.0795107033639795</v>
      </c>
      <c r="AS130" s="10">
        <f>2*(Мособлдума_одномандатный_6[[#This Row],[Лазутина Лариса Евгеньевна]]-(AC$203/100)*Мособлдума_одномандатный_6[[#This Row],[Число действительных бюллетеней]])</f>
        <v>-6.6440000000000623</v>
      </c>
      <c r="AT130" s="10">
        <f>(Мособлдума_одномандатный_6[[#This Row],[Вброс]]+Мособлдума_одномандатный_6[[#This Row],[Перекладывание]])/2</f>
        <v>-5.8617553516820209</v>
      </c>
    </row>
    <row r="131" spans="2:46" x14ac:dyDescent="0.4">
      <c r="B131" t="s">
        <v>74</v>
      </c>
      <c r="C131" t="s">
        <v>366</v>
      </c>
      <c r="D131" t="s">
        <v>227</v>
      </c>
      <c r="E131" t="s">
        <v>259</v>
      </c>
      <c r="F131" s="1">
        <f t="shared" ca="1" si="43"/>
        <v>1996</v>
      </c>
      <c r="G131" s="8" t="str">
        <f>Дума_партии[[#This Row],[Местоположение]]</f>
        <v>Одинцово</v>
      </c>
      <c r="H131" s="2" t="str">
        <f>LEFT(Мособлдума_одномандатный_6[[#This Row],[tik]],4)&amp;"."&amp;IF(ISNUMBER(VALUE(RIGHT(Мособлдума_одномандатный_6[[#This Row],[tik]]))),RIGHT(Мособлдума_одномандатный_6[[#This Row],[tik]]),"")</f>
        <v>Один.2</v>
      </c>
      <c r="I131">
        <v>1307</v>
      </c>
      <c r="J131" s="8">
        <f>Мособлдума_одномандатный_6[[#This Row],[Число избирателей, внесенных в список на момент окончания голосования]]</f>
        <v>1307</v>
      </c>
      <c r="K131">
        <v>1100</v>
      </c>
      <c r="M131">
        <v>531</v>
      </c>
      <c r="N131">
        <v>5</v>
      </c>
      <c r="O131" s="3">
        <f t="shared" si="44"/>
        <v>41.009946442234124</v>
      </c>
      <c r="P131" s="3">
        <f t="shared" si="45"/>
        <v>0.38255547054322875</v>
      </c>
      <c r="Q131">
        <v>564</v>
      </c>
      <c r="R131">
        <v>5</v>
      </c>
      <c r="S131">
        <v>531</v>
      </c>
      <c r="T131" s="1">
        <f t="shared" si="46"/>
        <v>536</v>
      </c>
      <c r="U131" s="3">
        <f t="shared" si="47"/>
        <v>0.93283582089552242</v>
      </c>
      <c r="V131">
        <v>29</v>
      </c>
      <c r="W131" s="3">
        <f t="shared" si="48"/>
        <v>5.41044776119403</v>
      </c>
      <c r="X131">
        <v>507</v>
      </c>
      <c r="Y131">
        <v>0</v>
      </c>
      <c r="Z131">
        <v>0</v>
      </c>
      <c r="AA131">
        <v>101</v>
      </c>
      <c r="AB131" s="3">
        <f t="shared" si="49"/>
        <v>18.843283582089551</v>
      </c>
      <c r="AC131">
        <v>28</v>
      </c>
      <c r="AD131" s="3">
        <f t="shared" si="50"/>
        <v>5.2238805970149258</v>
      </c>
      <c r="AE131">
        <v>8</v>
      </c>
      <c r="AF131" s="3">
        <f t="shared" si="51"/>
        <v>1.4925373134328359</v>
      </c>
      <c r="AG131">
        <v>25</v>
      </c>
      <c r="AH131" s="3">
        <f t="shared" si="52"/>
        <v>4.6641791044776122</v>
      </c>
      <c r="AI131">
        <v>190</v>
      </c>
      <c r="AJ131" s="3">
        <f t="shared" si="53"/>
        <v>35.447761194029852</v>
      </c>
      <c r="AK131">
        <v>30</v>
      </c>
      <c r="AL131" s="3">
        <f t="shared" si="42"/>
        <v>5.5970149253731343</v>
      </c>
      <c r="AM131">
        <v>125</v>
      </c>
      <c r="AN131" s="3">
        <f t="shared" si="54"/>
        <v>23.32089552238806</v>
      </c>
      <c r="AO131" t="s">
        <v>370</v>
      </c>
      <c r="AP131" s="72">
        <f>Дума_партии[[#This Row],[КОИБ]]</f>
        <v>2017</v>
      </c>
      <c r="AQ131" s="1">
        <f>IF(Дума_партии[[#This Row],[Наблюдателей]]=0,"",Дума_партии[[#This Row],[Наблюдателей]])</f>
        <v>1</v>
      </c>
      <c r="AR131"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22.290519877675791</v>
      </c>
      <c r="AS131" s="10">
        <f>2*(Мособлдума_одномандатный_6[[#This Row],[Лазутина Лариса Евгеньевна]]-(AC$203/100)*Мособлдума_одномандатный_6[[#This Row],[Число действительных бюллетеней]])</f>
        <v>29.155999999999949</v>
      </c>
      <c r="AT131" s="10">
        <f>(Мособлдума_одномандатный_6[[#This Row],[Вброс]]+Мособлдума_одномандатный_6[[#This Row],[Перекладывание]])/2</f>
        <v>25.72325993883787</v>
      </c>
    </row>
    <row r="132" spans="2:46" x14ac:dyDescent="0.4">
      <c r="B132" t="s">
        <v>74</v>
      </c>
      <c r="C132" t="s">
        <v>366</v>
      </c>
      <c r="D132" t="s">
        <v>227</v>
      </c>
      <c r="E132" t="s">
        <v>260</v>
      </c>
      <c r="F132" s="1">
        <f t="shared" ca="1" si="43"/>
        <v>1997</v>
      </c>
      <c r="G132" s="8" t="str">
        <f>Дума_партии[[#This Row],[Местоположение]]</f>
        <v>Одинцово</v>
      </c>
      <c r="H132" s="2" t="str">
        <f>LEFT(Мособлдума_одномандатный_6[[#This Row],[tik]],4)&amp;"."&amp;IF(ISNUMBER(VALUE(RIGHT(Мособлдума_одномандатный_6[[#This Row],[tik]]))),RIGHT(Мособлдума_одномандатный_6[[#This Row],[tik]]),"")</f>
        <v>Один.2</v>
      </c>
      <c r="I132">
        <v>1453</v>
      </c>
      <c r="J132" s="8">
        <f>Мособлдума_одномандатный_6[[#This Row],[Число избирателей, внесенных в список на момент окончания голосования]]</f>
        <v>1453</v>
      </c>
      <c r="K132">
        <v>1100</v>
      </c>
      <c r="M132">
        <v>1016</v>
      </c>
      <c r="N132">
        <v>4</v>
      </c>
      <c r="O132" s="3">
        <f t="shared" si="44"/>
        <v>70.199587061252586</v>
      </c>
      <c r="P132" s="3">
        <f t="shared" si="45"/>
        <v>0.27529249827942187</v>
      </c>
      <c r="Q132">
        <v>80</v>
      </c>
      <c r="R132">
        <v>4</v>
      </c>
      <c r="S132">
        <v>406</v>
      </c>
      <c r="T132" s="1">
        <f t="shared" si="46"/>
        <v>410</v>
      </c>
      <c r="U132" s="3">
        <f t="shared" si="47"/>
        <v>0.97560975609756095</v>
      </c>
      <c r="V132">
        <v>28</v>
      </c>
      <c r="W132" s="3">
        <f t="shared" si="48"/>
        <v>6.8292682926829267</v>
      </c>
      <c r="X132">
        <v>382</v>
      </c>
      <c r="Y132">
        <v>0</v>
      </c>
      <c r="Z132">
        <v>0</v>
      </c>
      <c r="AA132">
        <v>99</v>
      </c>
      <c r="AB132" s="3">
        <f t="shared" si="49"/>
        <v>24.146341463414632</v>
      </c>
      <c r="AC132">
        <v>27</v>
      </c>
      <c r="AD132" s="3">
        <f t="shared" si="50"/>
        <v>6.5853658536585362</v>
      </c>
      <c r="AE132">
        <v>10</v>
      </c>
      <c r="AF132" s="3">
        <f t="shared" si="51"/>
        <v>2.4390243902439024</v>
      </c>
      <c r="AG132">
        <v>20</v>
      </c>
      <c r="AH132" s="3">
        <f t="shared" si="52"/>
        <v>4.8780487804878048</v>
      </c>
      <c r="AI132">
        <v>122</v>
      </c>
      <c r="AJ132" s="3">
        <f t="shared" si="53"/>
        <v>29.756097560975611</v>
      </c>
      <c r="AK132">
        <v>24</v>
      </c>
      <c r="AL132" s="3">
        <f t="shared" si="42"/>
        <v>5.8536585365853657</v>
      </c>
      <c r="AM132">
        <v>80</v>
      </c>
      <c r="AN132" s="3">
        <f t="shared" si="54"/>
        <v>19.512195121951219</v>
      </c>
      <c r="AO132" t="s">
        <v>370</v>
      </c>
      <c r="AP132" s="72">
        <f>Дума_партии[[#This Row],[КОИБ]]</f>
        <v>2017</v>
      </c>
      <c r="AQ132" s="1" t="str">
        <f>IF(Дума_партии[[#This Row],[Наблюдателей]]=0,"",Дума_партии[[#This Row],[Наблюдателей]])</f>
        <v/>
      </c>
      <c r="AR132"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-15.553516819571911</v>
      </c>
      <c r="AS132" s="10">
        <f>2*(Мособлдума_одномандатный_6[[#This Row],[Лазутина Лариса Евгеньевна]]-(AC$203/100)*Мособлдума_одномандатный_6[[#This Row],[Число действительных бюллетеней]])</f>
        <v>-20.344000000000051</v>
      </c>
      <c r="AT132" s="10">
        <f>(Мособлдума_одномандатный_6[[#This Row],[Вброс]]+Мособлдума_одномандатный_6[[#This Row],[Перекладывание]])/2</f>
        <v>-17.948758409785981</v>
      </c>
    </row>
    <row r="133" spans="2:46" x14ac:dyDescent="0.4">
      <c r="B133" t="s">
        <v>74</v>
      </c>
      <c r="C133" t="s">
        <v>366</v>
      </c>
      <c r="D133" t="s">
        <v>227</v>
      </c>
      <c r="E133" t="s">
        <v>261</v>
      </c>
      <c r="F133" s="1">
        <f t="shared" ca="1" si="43"/>
        <v>1998</v>
      </c>
      <c r="G133" s="8" t="str">
        <f>Дума_партии[[#This Row],[Местоположение]]</f>
        <v>Одинцово</v>
      </c>
      <c r="H133" s="2" t="str">
        <f>LEFT(Мособлдума_одномандатный_6[[#This Row],[tik]],4)&amp;"."&amp;IF(ISNUMBER(VALUE(RIGHT(Мособлдума_одномандатный_6[[#This Row],[tik]]))),RIGHT(Мособлдума_одномандатный_6[[#This Row],[tik]]),"")</f>
        <v>Один.2</v>
      </c>
      <c r="I133">
        <v>1542</v>
      </c>
      <c r="J133" s="8">
        <f>Мособлдума_одномандатный_6[[#This Row],[Число избирателей, внесенных в список на момент окончания голосования]]</f>
        <v>1542</v>
      </c>
      <c r="K133">
        <v>1200</v>
      </c>
      <c r="M133">
        <v>482</v>
      </c>
      <c r="N133">
        <v>1</v>
      </c>
      <c r="O133" s="3">
        <f t="shared" si="44"/>
        <v>31.322957198443579</v>
      </c>
      <c r="P133" s="3">
        <f t="shared" si="45"/>
        <v>6.4850843060959798E-2</v>
      </c>
      <c r="Q133">
        <v>717</v>
      </c>
      <c r="R133">
        <v>1</v>
      </c>
      <c r="S133">
        <v>482</v>
      </c>
      <c r="T133" s="1">
        <f t="shared" si="46"/>
        <v>483</v>
      </c>
      <c r="U133" s="3">
        <f t="shared" si="47"/>
        <v>0.20703933747412009</v>
      </c>
      <c r="V133">
        <v>29</v>
      </c>
      <c r="W133" s="3">
        <f t="shared" si="48"/>
        <v>6.004140786749482</v>
      </c>
      <c r="X133">
        <v>454</v>
      </c>
      <c r="Y133">
        <v>0</v>
      </c>
      <c r="Z133">
        <v>0</v>
      </c>
      <c r="AA133">
        <v>127</v>
      </c>
      <c r="AB133" s="3">
        <f t="shared" si="49"/>
        <v>26.293995859213251</v>
      </c>
      <c r="AC133">
        <v>13</v>
      </c>
      <c r="AD133" s="3">
        <f t="shared" si="50"/>
        <v>2.691511387163561</v>
      </c>
      <c r="AE133">
        <v>24</v>
      </c>
      <c r="AF133" s="3">
        <f t="shared" si="51"/>
        <v>4.9689440993788816</v>
      </c>
      <c r="AG133">
        <v>29</v>
      </c>
      <c r="AH133" s="3">
        <f t="shared" si="52"/>
        <v>6.004140786749482</v>
      </c>
      <c r="AI133">
        <v>134</v>
      </c>
      <c r="AJ133" s="3">
        <f t="shared" si="53"/>
        <v>27.74327122153209</v>
      </c>
      <c r="AK133">
        <v>34</v>
      </c>
      <c r="AL133" s="3">
        <f t="shared" si="42"/>
        <v>7.0393374741200825</v>
      </c>
      <c r="AM133">
        <v>93</v>
      </c>
      <c r="AN133" s="3">
        <f t="shared" si="54"/>
        <v>19.254658385093169</v>
      </c>
      <c r="AO133" t="s">
        <v>370</v>
      </c>
      <c r="AP133" s="72">
        <f>Дума_партии[[#This Row],[КОИБ]]</f>
        <v>2017</v>
      </c>
      <c r="AQ133" s="1" t="str">
        <f>IF(Дума_партии[[#This Row],[Наблюдателей]]=0,"",Дума_партии[[#This Row],[Наблюдателей]])</f>
        <v/>
      </c>
      <c r="AR133"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-35.296636085626943</v>
      </c>
      <c r="AS133" s="10">
        <f>2*(Мособлдума_одномандатный_6[[#This Row],[Лазутина Лариса Евгеньевна]]-(AC$203/100)*Мособлдума_одномандатный_6[[#This Row],[Число действительных бюллетеней]])</f>
        <v>-46.168000000000006</v>
      </c>
      <c r="AT133" s="10">
        <f>(Мособлдума_одномандатный_6[[#This Row],[Вброс]]+Мособлдума_одномандатный_6[[#This Row],[Перекладывание]])/2</f>
        <v>-40.732318042813475</v>
      </c>
    </row>
    <row r="134" spans="2:46" x14ac:dyDescent="0.4">
      <c r="B134" t="s">
        <v>74</v>
      </c>
      <c r="C134" t="s">
        <v>366</v>
      </c>
      <c r="D134" t="s">
        <v>227</v>
      </c>
      <c r="E134" t="s">
        <v>262</v>
      </c>
      <c r="F134" s="1">
        <f t="shared" ca="1" si="43"/>
        <v>1999</v>
      </c>
      <c r="G134" s="8" t="str">
        <f>Дума_партии[[#This Row],[Местоположение]]</f>
        <v>Одинцово</v>
      </c>
      <c r="H134" s="2" t="str">
        <f>LEFT(Мособлдума_одномандатный_6[[#This Row],[tik]],4)&amp;"."&amp;IF(ISNUMBER(VALUE(RIGHT(Мособлдума_одномандатный_6[[#This Row],[tik]]))),RIGHT(Мособлдума_одномандатный_6[[#This Row],[tik]]),"")</f>
        <v>Один.2</v>
      </c>
      <c r="I134">
        <v>1462</v>
      </c>
      <c r="J134" s="8">
        <f>Мособлдума_одномандатный_6[[#This Row],[Число избирателей, внесенных в список на момент окончания голосования]]</f>
        <v>1462</v>
      </c>
      <c r="K134">
        <v>1200</v>
      </c>
      <c r="M134">
        <v>485</v>
      </c>
      <c r="N134">
        <v>7</v>
      </c>
      <c r="O134" s="3">
        <f t="shared" si="44"/>
        <v>33.652530779753761</v>
      </c>
      <c r="P134" s="3">
        <f t="shared" si="45"/>
        <v>0.47879616963064298</v>
      </c>
      <c r="Q134">
        <v>708</v>
      </c>
      <c r="R134">
        <v>7</v>
      </c>
      <c r="S134">
        <v>485</v>
      </c>
      <c r="T134" s="1">
        <f t="shared" si="46"/>
        <v>492</v>
      </c>
      <c r="U134" s="3">
        <f t="shared" si="47"/>
        <v>1.4227642276422765</v>
      </c>
      <c r="V134">
        <v>22</v>
      </c>
      <c r="W134" s="3">
        <f t="shared" si="48"/>
        <v>4.4715447154471546</v>
      </c>
      <c r="X134">
        <v>470</v>
      </c>
      <c r="Y134">
        <v>0</v>
      </c>
      <c r="Z134">
        <v>0</v>
      </c>
      <c r="AA134">
        <v>128</v>
      </c>
      <c r="AB134" s="3">
        <f t="shared" si="49"/>
        <v>26.016260162601625</v>
      </c>
      <c r="AC134">
        <v>31</v>
      </c>
      <c r="AD134" s="3">
        <f t="shared" si="50"/>
        <v>6.3008130081300813</v>
      </c>
      <c r="AE134">
        <v>13</v>
      </c>
      <c r="AF134" s="3">
        <f t="shared" si="51"/>
        <v>2.6422764227642275</v>
      </c>
      <c r="AG134">
        <v>18</v>
      </c>
      <c r="AH134" s="3">
        <f t="shared" si="52"/>
        <v>3.6585365853658538</v>
      </c>
      <c r="AI134">
        <v>136</v>
      </c>
      <c r="AJ134" s="3">
        <f t="shared" si="53"/>
        <v>27.642276422764226</v>
      </c>
      <c r="AK134">
        <v>34</v>
      </c>
      <c r="AL134" s="3">
        <f t="shared" si="42"/>
        <v>6.9105691056910565</v>
      </c>
      <c r="AM134">
        <v>110</v>
      </c>
      <c r="AN134" s="3">
        <f t="shared" si="54"/>
        <v>22.357723577235774</v>
      </c>
      <c r="AO134" t="s">
        <v>370</v>
      </c>
      <c r="AP134" s="72">
        <f>Дума_партии[[#This Row],[КОИБ]]</f>
        <v>2017</v>
      </c>
      <c r="AQ134" s="1" t="str">
        <f>IF(Дума_партии[[#This Row],[Наблюдателей]]=0,"",Дума_партии[[#This Row],[Наблюдателей]])</f>
        <v/>
      </c>
      <c r="AR134"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-40.703363914373142</v>
      </c>
      <c r="AS134" s="10">
        <f>2*(Мособлдума_одномандатный_6[[#This Row],[Лазутина Лариса Евгеньевна]]-(AC$203/100)*Мособлдума_одномандатный_6[[#This Row],[Число действительных бюллетеней]])</f>
        <v>-53.240000000000009</v>
      </c>
      <c r="AT134" s="10">
        <f>(Мособлдума_одномандатный_6[[#This Row],[Вброс]]+Мособлдума_одномандатный_6[[#This Row],[Перекладывание]])/2</f>
        <v>-46.971681957186576</v>
      </c>
    </row>
    <row r="135" spans="2:46" x14ac:dyDescent="0.4">
      <c r="B135" t="s">
        <v>74</v>
      </c>
      <c r="C135" t="s">
        <v>366</v>
      </c>
      <c r="D135" t="s">
        <v>227</v>
      </c>
      <c r="E135" t="s">
        <v>263</v>
      </c>
      <c r="F135" s="1">
        <f t="shared" ca="1" si="43"/>
        <v>2000</v>
      </c>
      <c r="G135" s="8" t="str">
        <f>Дума_партии[[#This Row],[Местоположение]]</f>
        <v>Одинцово</v>
      </c>
      <c r="H135" s="2" t="str">
        <f>LEFT(Мособлдума_одномандатный_6[[#This Row],[tik]],4)&amp;"."&amp;IF(ISNUMBER(VALUE(RIGHT(Мособлдума_одномандатный_6[[#This Row],[tik]]))),RIGHT(Мособлдума_одномандатный_6[[#This Row],[tik]]),"")</f>
        <v>Один.2</v>
      </c>
      <c r="I135">
        <v>1433</v>
      </c>
      <c r="J135" s="8">
        <f>Мособлдума_одномандатный_6[[#This Row],[Число избирателей, внесенных в список на момент окончания голосования]]</f>
        <v>1433</v>
      </c>
      <c r="K135">
        <v>1200</v>
      </c>
      <c r="M135">
        <v>470</v>
      </c>
      <c r="N135">
        <v>9</v>
      </c>
      <c r="O135" s="3">
        <f t="shared" si="44"/>
        <v>33.426378227494766</v>
      </c>
      <c r="P135" s="3">
        <f t="shared" si="45"/>
        <v>0.62805303558967207</v>
      </c>
      <c r="Q135">
        <v>721</v>
      </c>
      <c r="R135">
        <v>9</v>
      </c>
      <c r="S135">
        <v>470</v>
      </c>
      <c r="T135" s="1">
        <f t="shared" si="46"/>
        <v>479</v>
      </c>
      <c r="U135" s="3">
        <f t="shared" si="47"/>
        <v>1.8789144050104385</v>
      </c>
      <c r="V135">
        <v>19</v>
      </c>
      <c r="W135" s="3">
        <f t="shared" si="48"/>
        <v>3.9665970772442587</v>
      </c>
      <c r="X135">
        <v>460</v>
      </c>
      <c r="Y135">
        <v>0</v>
      </c>
      <c r="Z135">
        <v>0</v>
      </c>
      <c r="AA135">
        <v>103</v>
      </c>
      <c r="AB135" s="3">
        <f t="shared" si="49"/>
        <v>21.503131524008349</v>
      </c>
      <c r="AC135">
        <v>16</v>
      </c>
      <c r="AD135" s="3">
        <f t="shared" si="50"/>
        <v>3.3402922755741127</v>
      </c>
      <c r="AE135">
        <v>8</v>
      </c>
      <c r="AF135" s="3">
        <f t="shared" si="51"/>
        <v>1.6701461377870563</v>
      </c>
      <c r="AG135">
        <v>9</v>
      </c>
      <c r="AH135" s="3">
        <f t="shared" si="52"/>
        <v>1.8789144050104385</v>
      </c>
      <c r="AI135">
        <v>183</v>
      </c>
      <c r="AJ135" s="3">
        <f t="shared" si="53"/>
        <v>38.204592901878911</v>
      </c>
      <c r="AK135">
        <v>40</v>
      </c>
      <c r="AL135" s="3">
        <f t="shared" si="42"/>
        <v>8.3507306889352826</v>
      </c>
      <c r="AM135">
        <v>101</v>
      </c>
      <c r="AN135" s="3">
        <f t="shared" si="54"/>
        <v>21.085594989561585</v>
      </c>
      <c r="AO135" t="s">
        <v>370</v>
      </c>
      <c r="AP135" s="72">
        <f>Дума_партии[[#This Row],[КОИБ]]</f>
        <v>2017</v>
      </c>
      <c r="AQ135" s="1" t="str">
        <f>IF(Дума_партии[[#This Row],[Наблюдателей]]=0,"",Дума_партии[[#This Row],[Наблюдателей]])</f>
        <v/>
      </c>
      <c r="AR135"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36.452599388379184</v>
      </c>
      <c r="AS135" s="10">
        <f>2*(Мособлдума_одномандатный_6[[#This Row],[Лазутина Лариса Евгеньевна]]-(AC$203/100)*Мособлдума_одномандатный_6[[#This Row],[Число действительных бюллетеней]])</f>
        <v>47.67999999999995</v>
      </c>
      <c r="AT135" s="10">
        <f>(Мособлдума_одномандатный_6[[#This Row],[Вброс]]+Мособлдума_одномандатный_6[[#This Row],[Перекладывание]])/2</f>
        <v>42.066299694189567</v>
      </c>
    </row>
    <row r="136" spans="2:46" x14ac:dyDescent="0.4">
      <c r="B136" t="s">
        <v>74</v>
      </c>
      <c r="C136" t="s">
        <v>366</v>
      </c>
      <c r="D136" t="s">
        <v>227</v>
      </c>
      <c r="E136" t="s">
        <v>264</v>
      </c>
      <c r="F136" s="1">
        <f t="shared" ca="1" si="43"/>
        <v>2001</v>
      </c>
      <c r="G136" s="8" t="str">
        <f>Дума_партии[[#This Row],[Местоположение]]</f>
        <v>Одинцово</v>
      </c>
      <c r="H136" s="2" t="str">
        <f>LEFT(Мособлдума_одномандатный_6[[#This Row],[tik]],4)&amp;"."&amp;IF(ISNUMBER(VALUE(RIGHT(Мособлдума_одномандатный_6[[#This Row],[tik]]))),RIGHT(Мособлдума_одномандатный_6[[#This Row],[tik]]),"")</f>
        <v>Один.2</v>
      </c>
      <c r="I136">
        <v>1850</v>
      </c>
      <c r="J136" s="8">
        <f>Мособлдума_одномандатный_6[[#This Row],[Число избирателей, внесенных в список на момент окончания голосования]]</f>
        <v>1850</v>
      </c>
      <c r="K136">
        <v>1500</v>
      </c>
      <c r="M136">
        <v>523</v>
      </c>
      <c r="N136">
        <v>0</v>
      </c>
      <c r="O136" s="3">
        <f t="shared" si="44"/>
        <v>28.27027027027027</v>
      </c>
      <c r="P136" s="3">
        <f t="shared" si="45"/>
        <v>0</v>
      </c>
      <c r="Q136">
        <v>977</v>
      </c>
      <c r="R136">
        <v>0</v>
      </c>
      <c r="S136">
        <v>523</v>
      </c>
      <c r="T136" s="1">
        <f t="shared" si="46"/>
        <v>523</v>
      </c>
      <c r="U136" s="3">
        <f t="shared" si="47"/>
        <v>0</v>
      </c>
      <c r="V136">
        <v>33</v>
      </c>
      <c r="W136" s="3">
        <f t="shared" si="48"/>
        <v>6.3097514340344167</v>
      </c>
      <c r="X136">
        <v>490</v>
      </c>
      <c r="Y136">
        <v>0</v>
      </c>
      <c r="Z136">
        <v>0</v>
      </c>
      <c r="AA136">
        <v>166</v>
      </c>
      <c r="AB136" s="3">
        <f t="shared" si="49"/>
        <v>31.739961759082217</v>
      </c>
      <c r="AC136">
        <v>15</v>
      </c>
      <c r="AD136" s="3">
        <f t="shared" si="50"/>
        <v>2.8680688336520075</v>
      </c>
      <c r="AE136">
        <v>17</v>
      </c>
      <c r="AF136" s="3">
        <f t="shared" si="51"/>
        <v>3.2504780114722753</v>
      </c>
      <c r="AG136">
        <v>16</v>
      </c>
      <c r="AH136" s="3">
        <f t="shared" si="52"/>
        <v>3.0592734225621414</v>
      </c>
      <c r="AI136">
        <v>138</v>
      </c>
      <c r="AJ136" s="3">
        <f t="shared" si="53"/>
        <v>26.38623326959847</v>
      </c>
      <c r="AK136">
        <v>29</v>
      </c>
      <c r="AL136" s="3">
        <f t="shared" si="42"/>
        <v>5.5449330783938811</v>
      </c>
      <c r="AM136">
        <v>109</v>
      </c>
      <c r="AN136" s="3">
        <f t="shared" si="54"/>
        <v>20.841300191204589</v>
      </c>
      <c r="AO136" t="s">
        <v>370</v>
      </c>
      <c r="AP136" s="72">
        <f>Дума_партии[[#This Row],[КОИБ]]</f>
        <v>2017</v>
      </c>
      <c r="AQ136" s="1" t="str">
        <f>IF(Дума_партии[[#This Row],[Наблюдателей]]=0,"",Дума_партии[[#This Row],[Наблюдателей]])</f>
        <v/>
      </c>
      <c r="AR136"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-48.226299694189635</v>
      </c>
      <c r="AS136" s="10">
        <f>2*(Мособлдума_одномандатный_6[[#This Row],[Лазутина Лариса Евгеньевна]]-(AC$203/100)*Мособлдума_одномандатный_6[[#This Row],[Число действительных бюллетеней]])</f>
        <v>-63.080000000000041</v>
      </c>
      <c r="AT136" s="10">
        <f>(Мособлдума_одномандатный_6[[#This Row],[Вброс]]+Мособлдума_одномандатный_6[[#This Row],[Перекладывание]])/2</f>
        <v>-55.653149847094838</v>
      </c>
    </row>
    <row r="137" spans="2:46" x14ac:dyDescent="0.4">
      <c r="B137" t="s">
        <v>74</v>
      </c>
      <c r="C137" t="s">
        <v>366</v>
      </c>
      <c r="D137" t="s">
        <v>227</v>
      </c>
      <c r="E137" t="s">
        <v>265</v>
      </c>
      <c r="F137" s="1">
        <f t="shared" ca="1" si="43"/>
        <v>2002</v>
      </c>
      <c r="G137" s="8" t="str">
        <f>Дума_партии[[#This Row],[Местоположение]]</f>
        <v>Одинцово</v>
      </c>
      <c r="H137" s="2" t="str">
        <f>LEFT(Мособлдума_одномандатный_6[[#This Row],[tik]],4)&amp;"."&amp;IF(ISNUMBER(VALUE(RIGHT(Мособлдума_одномандатный_6[[#This Row],[tik]]))),RIGHT(Мособлдума_одномандатный_6[[#This Row],[tik]]),"")</f>
        <v>Один.2</v>
      </c>
      <c r="I137">
        <v>2111</v>
      </c>
      <c r="J137" s="8">
        <f>Мособлдума_одномандатный_6[[#This Row],[Число избирателей, внесенных в список на момент окончания голосования]]</f>
        <v>2111</v>
      </c>
      <c r="K137">
        <v>2000</v>
      </c>
      <c r="M137">
        <v>779</v>
      </c>
      <c r="N137">
        <v>96</v>
      </c>
      <c r="O137" s="3">
        <f t="shared" si="44"/>
        <v>41.449549976314543</v>
      </c>
      <c r="P137" s="3">
        <f t="shared" si="45"/>
        <v>4.5476077688299386</v>
      </c>
      <c r="Q137">
        <v>1125</v>
      </c>
      <c r="R137">
        <v>96</v>
      </c>
      <c r="S137">
        <v>779</v>
      </c>
      <c r="T137" s="1">
        <f t="shared" si="46"/>
        <v>875</v>
      </c>
      <c r="U137" s="3">
        <f t="shared" si="47"/>
        <v>10.971428571428572</v>
      </c>
      <c r="V137">
        <v>43</v>
      </c>
      <c r="W137" s="3">
        <f t="shared" si="48"/>
        <v>4.9142857142857146</v>
      </c>
      <c r="X137">
        <v>832</v>
      </c>
      <c r="Y137">
        <v>0</v>
      </c>
      <c r="Z137">
        <v>0</v>
      </c>
      <c r="AA137">
        <v>186</v>
      </c>
      <c r="AB137" s="3">
        <f t="shared" si="49"/>
        <v>21.257142857142856</v>
      </c>
      <c r="AC137">
        <v>42</v>
      </c>
      <c r="AD137" s="3">
        <f t="shared" si="50"/>
        <v>4.8</v>
      </c>
      <c r="AE137">
        <v>17</v>
      </c>
      <c r="AF137" s="3">
        <f t="shared" si="51"/>
        <v>1.9428571428571428</v>
      </c>
      <c r="AG137">
        <v>24</v>
      </c>
      <c r="AH137" s="3">
        <f t="shared" si="52"/>
        <v>2.7428571428571429</v>
      </c>
      <c r="AI137">
        <v>336</v>
      </c>
      <c r="AJ137" s="3">
        <f t="shared" si="53"/>
        <v>38.4</v>
      </c>
      <c r="AK137">
        <v>85</v>
      </c>
      <c r="AL137" s="3">
        <f t="shared" si="42"/>
        <v>9.7142857142857135</v>
      </c>
      <c r="AM137">
        <v>142</v>
      </c>
      <c r="AN137" s="3">
        <f t="shared" si="54"/>
        <v>16.228571428571428</v>
      </c>
      <c r="AO137" t="s">
        <v>370</v>
      </c>
      <c r="AP137" s="72">
        <f>Дума_партии[[#This Row],[КОИБ]]</f>
        <v>2017</v>
      </c>
      <c r="AQ137" s="1" t="str">
        <f>IF(Дума_партии[[#This Row],[Наблюдателей]]=0,"",Дума_партии[[#This Row],[Наблюдателей]])</f>
        <v/>
      </c>
      <c r="AR137"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73.590214067278225</v>
      </c>
      <c r="AS137" s="10">
        <f>2*(Мособлдума_одномандатный_6[[#This Row],[Лазутина Лариса Евгеньевна]]-(AC$203/100)*Мособлдума_одномандатный_6[[#This Row],[Число действительных бюллетеней]])</f>
        <v>96.255999999999972</v>
      </c>
      <c r="AT137" s="10">
        <f>(Мособлдума_одномандатный_6[[#This Row],[Вброс]]+Мособлдума_одномандатный_6[[#This Row],[Перекладывание]])/2</f>
        <v>84.923107033639099</v>
      </c>
    </row>
    <row r="138" spans="2:46" x14ac:dyDescent="0.4">
      <c r="B138" t="s">
        <v>74</v>
      </c>
      <c r="C138" t="s">
        <v>366</v>
      </c>
      <c r="D138" t="s">
        <v>227</v>
      </c>
      <c r="E138" t="s">
        <v>266</v>
      </c>
      <c r="F138" s="1">
        <f t="shared" ca="1" si="43"/>
        <v>2004</v>
      </c>
      <c r="G138" s="8" t="str">
        <f>Дума_партии[[#This Row],[Местоположение]]</f>
        <v>Одинцово</v>
      </c>
      <c r="H138" s="2" t="str">
        <f>LEFT(Мособлдума_одномандатный_6[[#This Row],[tik]],4)&amp;"."&amp;IF(ISNUMBER(VALUE(RIGHT(Мособлдума_одномандатный_6[[#This Row],[tik]]))),RIGHT(Мособлдума_одномандатный_6[[#This Row],[tik]]),"")</f>
        <v>Один.2</v>
      </c>
      <c r="I138">
        <v>1035</v>
      </c>
      <c r="J138" s="8">
        <f>Мособлдума_одномандатный_6[[#This Row],[Число избирателей, внесенных в список на момент окончания голосования]]</f>
        <v>1035</v>
      </c>
      <c r="K138">
        <v>900</v>
      </c>
      <c r="M138">
        <v>339</v>
      </c>
      <c r="N138">
        <v>226</v>
      </c>
      <c r="O138" s="3">
        <f t="shared" si="44"/>
        <v>54.589371980676326</v>
      </c>
      <c r="P138" s="3">
        <f t="shared" si="45"/>
        <v>21.835748792270532</v>
      </c>
      <c r="Q138">
        <v>335</v>
      </c>
      <c r="R138">
        <v>226</v>
      </c>
      <c r="S138">
        <v>339</v>
      </c>
      <c r="T138" s="1">
        <f t="shared" si="46"/>
        <v>565</v>
      </c>
      <c r="U138" s="3">
        <f t="shared" si="47"/>
        <v>40</v>
      </c>
      <c r="V138">
        <v>19</v>
      </c>
      <c r="W138" s="3">
        <f t="shared" si="48"/>
        <v>3.3628318584070795</v>
      </c>
      <c r="X138">
        <v>546</v>
      </c>
      <c r="Y138">
        <v>0</v>
      </c>
      <c r="Z138">
        <v>0</v>
      </c>
      <c r="AA138">
        <v>88</v>
      </c>
      <c r="AB138" s="3">
        <f t="shared" si="49"/>
        <v>15.575221238938052</v>
      </c>
      <c r="AC138">
        <v>22</v>
      </c>
      <c r="AD138" s="3">
        <f t="shared" si="50"/>
        <v>3.8938053097345131</v>
      </c>
      <c r="AE138">
        <v>11</v>
      </c>
      <c r="AF138" s="3">
        <f t="shared" si="51"/>
        <v>1.9469026548672566</v>
      </c>
      <c r="AG138">
        <v>11</v>
      </c>
      <c r="AH138" s="3">
        <f t="shared" si="52"/>
        <v>1.9469026548672566</v>
      </c>
      <c r="AI138">
        <v>282</v>
      </c>
      <c r="AJ138" s="3">
        <f t="shared" si="53"/>
        <v>49.911504424778762</v>
      </c>
      <c r="AK138">
        <v>33</v>
      </c>
      <c r="AL138" s="3">
        <f t="shared" si="42"/>
        <v>5.8407079646017701</v>
      </c>
      <c r="AM138">
        <v>99</v>
      </c>
      <c r="AN138" s="3">
        <f t="shared" si="54"/>
        <v>17.522123893805311</v>
      </c>
      <c r="AO138" t="s">
        <v>370</v>
      </c>
      <c r="AP138" s="72">
        <f>Дума_партии[[#This Row],[КОИБ]]</f>
        <v>2017</v>
      </c>
      <c r="AQ138" s="1" t="str">
        <f>IF(Дума_партии[[#This Row],[Наблюдателей]]=0,"",Дума_партии[[#This Row],[Наблюдателей]])</f>
        <v/>
      </c>
      <c r="AR138"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142.33027522935777</v>
      </c>
      <c r="AS138" s="10">
        <f>2*(Мособлдума_одномандатный_6[[#This Row],[Лазутина Лариса Евгеньевна]]-(AC$203/100)*Мособлдума_одномандатный_6[[#This Row],[Число действительных бюллетеней]])</f>
        <v>186.16799999999995</v>
      </c>
      <c r="AT138" s="10">
        <f>(Мособлдума_одномандатный_6[[#This Row],[Вброс]]+Мособлдума_одномандатный_6[[#This Row],[Перекладывание]])/2</f>
        <v>164.24913761467886</v>
      </c>
    </row>
    <row r="139" spans="2:46" x14ac:dyDescent="0.4">
      <c r="B139" t="s">
        <v>74</v>
      </c>
      <c r="C139" t="s">
        <v>366</v>
      </c>
      <c r="D139" t="s">
        <v>227</v>
      </c>
      <c r="E139" t="s">
        <v>267</v>
      </c>
      <c r="F139" s="1">
        <f t="shared" ca="1" si="43"/>
        <v>2005</v>
      </c>
      <c r="G139" s="8" t="str">
        <f>Дума_партии[[#This Row],[Местоположение]]</f>
        <v>Одинцово</v>
      </c>
      <c r="H139" s="2" t="str">
        <f>LEFT(Мособлдума_одномандатный_6[[#This Row],[tik]],4)&amp;"."&amp;IF(ISNUMBER(VALUE(RIGHT(Мособлдума_одномандатный_6[[#This Row],[tik]]))),RIGHT(Мособлдума_одномандатный_6[[#This Row],[tik]]),"")</f>
        <v>Один.2</v>
      </c>
      <c r="I139">
        <v>1915</v>
      </c>
      <c r="J139" s="8">
        <f>Мособлдума_одномандатный_6[[#This Row],[Число избирателей, внесенных в список на момент окончания голосования]]</f>
        <v>1915</v>
      </c>
      <c r="K139">
        <v>1500</v>
      </c>
      <c r="M139">
        <v>564</v>
      </c>
      <c r="N139">
        <v>401</v>
      </c>
      <c r="O139" s="3">
        <f t="shared" si="44"/>
        <v>50.391644908616186</v>
      </c>
      <c r="P139" s="3">
        <f t="shared" si="45"/>
        <v>20.93994778067885</v>
      </c>
      <c r="Q139">
        <v>535</v>
      </c>
      <c r="R139">
        <v>400</v>
      </c>
      <c r="S139">
        <v>563</v>
      </c>
      <c r="T139" s="1">
        <f t="shared" si="46"/>
        <v>963</v>
      </c>
      <c r="U139" s="3">
        <f t="shared" si="47"/>
        <v>41.536863966770511</v>
      </c>
      <c r="V139">
        <v>14</v>
      </c>
      <c r="W139" s="3">
        <f t="shared" si="48"/>
        <v>1.4537902388369679</v>
      </c>
      <c r="X139">
        <v>949</v>
      </c>
      <c r="Y139">
        <v>0</v>
      </c>
      <c r="Z139">
        <v>0</v>
      </c>
      <c r="AA139">
        <v>145</v>
      </c>
      <c r="AB139" s="3">
        <f t="shared" si="49"/>
        <v>15.057113187954309</v>
      </c>
      <c r="AC139">
        <v>21</v>
      </c>
      <c r="AD139" s="3">
        <f t="shared" si="50"/>
        <v>2.1806853582554515</v>
      </c>
      <c r="AE139">
        <v>17</v>
      </c>
      <c r="AF139" s="3">
        <f t="shared" si="51"/>
        <v>1.7653167185877465</v>
      </c>
      <c r="AG139">
        <v>16</v>
      </c>
      <c r="AH139" s="3">
        <f t="shared" si="52"/>
        <v>1.6614745586708204</v>
      </c>
      <c r="AI139">
        <v>572</v>
      </c>
      <c r="AJ139" s="3">
        <f t="shared" si="53"/>
        <v>59.397715472481828</v>
      </c>
      <c r="AK139">
        <v>68</v>
      </c>
      <c r="AL139" s="3">
        <f t="shared" si="42"/>
        <v>7.0612668743509861</v>
      </c>
      <c r="AM139">
        <v>110</v>
      </c>
      <c r="AN139" s="3">
        <f t="shared" si="54"/>
        <v>11.422637590861889</v>
      </c>
      <c r="AO139" t="s">
        <v>370</v>
      </c>
      <c r="AP139" s="72">
        <f>Дума_партии[[#This Row],[КОИБ]]</f>
        <v>2017</v>
      </c>
      <c r="AQ139" s="1" t="str">
        <f>IF(Дума_партии[[#This Row],[Наблюдателей]]=0,"",Дума_партии[[#This Row],[Наблюдателей]])</f>
        <v/>
      </c>
      <c r="AR139"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372.54740061162079</v>
      </c>
      <c r="AS139" s="10">
        <f>2*(Мособлдума_одномандатный_6[[#This Row],[Лазутина Лариса Евгеньевна]]-(AC$203/100)*Мособлдума_одномандатный_6[[#This Row],[Число действительных бюллетеней]])</f>
        <v>487.29199999999992</v>
      </c>
      <c r="AT139" s="10">
        <f>(Мособлдума_одномандатный_6[[#This Row],[Вброс]]+Мособлдума_одномандатный_6[[#This Row],[Перекладывание]])/2</f>
        <v>429.91970030581035</v>
      </c>
    </row>
    <row r="140" spans="2:46" x14ac:dyDescent="0.4">
      <c r="B140" t="s">
        <v>74</v>
      </c>
      <c r="C140" t="s">
        <v>366</v>
      </c>
      <c r="D140" t="s">
        <v>227</v>
      </c>
      <c r="E140" t="s">
        <v>268</v>
      </c>
      <c r="F140" s="1">
        <f t="shared" ca="1" si="43"/>
        <v>2008</v>
      </c>
      <c r="G140" s="8" t="str">
        <f>Дума_партии[[#This Row],[Местоположение]]</f>
        <v>Одинцово</v>
      </c>
      <c r="H140" s="2" t="str">
        <f>LEFT(Мособлдума_одномандатный_6[[#This Row],[tik]],4)&amp;"."&amp;IF(ISNUMBER(VALUE(RIGHT(Мособлдума_одномандатный_6[[#This Row],[tik]]))),RIGHT(Мособлдума_одномандатный_6[[#This Row],[tik]]),"")</f>
        <v>Один.2</v>
      </c>
      <c r="I140">
        <v>2290</v>
      </c>
      <c r="J140" s="8">
        <f>Мособлдума_одномандатный_6[[#This Row],[Число избирателей, внесенных в список на момент окончания голосования]]</f>
        <v>2290</v>
      </c>
      <c r="K140">
        <v>2000</v>
      </c>
      <c r="M140">
        <v>725</v>
      </c>
      <c r="N140">
        <v>59</v>
      </c>
      <c r="O140" s="3">
        <f t="shared" si="44"/>
        <v>34.235807860262007</v>
      </c>
      <c r="P140" s="3">
        <f t="shared" si="45"/>
        <v>2.5764192139737991</v>
      </c>
      <c r="Q140">
        <v>1216</v>
      </c>
      <c r="R140">
        <v>59</v>
      </c>
      <c r="S140">
        <v>712</v>
      </c>
      <c r="T140" s="1">
        <f t="shared" si="46"/>
        <v>771</v>
      </c>
      <c r="U140" s="3">
        <f t="shared" si="47"/>
        <v>7.6523994811932559</v>
      </c>
      <c r="V140">
        <v>60</v>
      </c>
      <c r="W140" s="3">
        <f t="shared" si="48"/>
        <v>7.782101167315175</v>
      </c>
      <c r="X140">
        <v>711</v>
      </c>
      <c r="Y140">
        <v>0</v>
      </c>
      <c r="Z140">
        <v>0</v>
      </c>
      <c r="AA140">
        <v>188</v>
      </c>
      <c r="AB140" s="3">
        <f t="shared" si="49"/>
        <v>24.383916990920881</v>
      </c>
      <c r="AC140">
        <v>27</v>
      </c>
      <c r="AD140" s="3">
        <f t="shared" si="50"/>
        <v>3.5019455252918288</v>
      </c>
      <c r="AE140">
        <v>20</v>
      </c>
      <c r="AF140" s="3">
        <f t="shared" si="51"/>
        <v>2.5940337224383918</v>
      </c>
      <c r="AG140">
        <v>28</v>
      </c>
      <c r="AH140" s="3">
        <f t="shared" si="52"/>
        <v>3.6316472114137484</v>
      </c>
      <c r="AI140">
        <v>248</v>
      </c>
      <c r="AJ140" s="3">
        <f t="shared" si="53"/>
        <v>32.166018158236056</v>
      </c>
      <c r="AK140">
        <v>46</v>
      </c>
      <c r="AL140" s="3">
        <f t="shared" si="42"/>
        <v>5.966277561608301</v>
      </c>
      <c r="AM140">
        <v>154</v>
      </c>
      <c r="AN140" s="3">
        <f t="shared" si="54"/>
        <v>19.974059662775616</v>
      </c>
      <c r="AO140" t="s">
        <v>370</v>
      </c>
      <c r="AP140" s="72">
        <f>Дума_партии[[#This Row],[КОИБ]]</f>
        <v>2017</v>
      </c>
      <c r="AQ140" s="1">
        <f>IF(Дума_партии[[#This Row],[Наблюдателей]]=0,"",Дума_партии[[#This Row],[Наблюдателей]])</f>
        <v>2</v>
      </c>
      <c r="AR140"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3.0489296636085044</v>
      </c>
      <c r="AS140" s="10">
        <f>2*(Мособлдума_одномандатный_6[[#This Row],[Лазутина Лариса Евгеньевна]]-(AC$203/100)*Мособлдума_одномандатный_6[[#This Row],[Число действительных бюллетеней]])</f>
        <v>3.9879999999999427</v>
      </c>
      <c r="AT140" s="10">
        <f>(Мособлдума_одномандатный_6[[#This Row],[Вброс]]+Мособлдума_одномандатный_6[[#This Row],[Перекладывание]])/2</f>
        <v>3.5184648318042235</v>
      </c>
    </row>
    <row r="141" spans="2:46" x14ac:dyDescent="0.4">
      <c r="B141" t="s">
        <v>74</v>
      </c>
      <c r="C141" t="s">
        <v>366</v>
      </c>
      <c r="D141" t="s">
        <v>227</v>
      </c>
      <c r="E141" t="s">
        <v>269</v>
      </c>
      <c r="F141" s="1">
        <f t="shared" ca="1" si="43"/>
        <v>2009</v>
      </c>
      <c r="G141" s="8" t="str">
        <f>Дума_партии[[#This Row],[Местоположение]]</f>
        <v>Одинцово</v>
      </c>
      <c r="H141" s="2" t="str">
        <f>LEFT(Мособлдума_одномандатный_6[[#This Row],[tik]],4)&amp;"."&amp;IF(ISNUMBER(VALUE(RIGHT(Мособлдума_одномандатный_6[[#This Row],[tik]]))),RIGHT(Мособлдума_одномандатный_6[[#This Row],[tik]]),"")</f>
        <v>Один.2</v>
      </c>
      <c r="I141">
        <v>2251</v>
      </c>
      <c r="J141" s="8">
        <f>Мособлдума_одномандатный_6[[#This Row],[Число избирателей, внесенных в список на момент окончания голосования]]</f>
        <v>2251</v>
      </c>
      <c r="K141">
        <v>2000</v>
      </c>
      <c r="M141">
        <v>708</v>
      </c>
      <c r="N141">
        <v>33</v>
      </c>
      <c r="O141" s="3">
        <f t="shared" si="44"/>
        <v>32.918702798756108</v>
      </c>
      <c r="P141" s="3">
        <f t="shared" si="45"/>
        <v>1.4660151043980454</v>
      </c>
      <c r="Q141">
        <v>1259</v>
      </c>
      <c r="R141">
        <v>33</v>
      </c>
      <c r="S141">
        <v>708</v>
      </c>
      <c r="T141" s="1">
        <f t="shared" si="46"/>
        <v>741</v>
      </c>
      <c r="U141" s="3">
        <f t="shared" si="47"/>
        <v>4.4534412955465585</v>
      </c>
      <c r="V141">
        <v>39</v>
      </c>
      <c r="W141" s="3">
        <f t="shared" si="48"/>
        <v>5.2631578947368425</v>
      </c>
      <c r="X141">
        <v>702</v>
      </c>
      <c r="Y141">
        <v>0</v>
      </c>
      <c r="Z141">
        <v>0</v>
      </c>
      <c r="AA141">
        <v>173</v>
      </c>
      <c r="AB141" s="3">
        <f t="shared" si="49"/>
        <v>23.346828609986506</v>
      </c>
      <c r="AC141">
        <v>52</v>
      </c>
      <c r="AD141" s="3">
        <f t="shared" si="50"/>
        <v>7.0175438596491224</v>
      </c>
      <c r="AE141">
        <v>17</v>
      </c>
      <c r="AF141" s="3">
        <f t="shared" si="51"/>
        <v>2.2941970310391362</v>
      </c>
      <c r="AG141">
        <v>26</v>
      </c>
      <c r="AH141" s="3">
        <f t="shared" si="52"/>
        <v>3.5087719298245612</v>
      </c>
      <c r="AI141">
        <v>249</v>
      </c>
      <c r="AJ141" s="3">
        <f t="shared" si="53"/>
        <v>33.603238866396758</v>
      </c>
      <c r="AK141">
        <v>63</v>
      </c>
      <c r="AL141" s="3">
        <f t="shared" si="42"/>
        <v>8.5020242914979764</v>
      </c>
      <c r="AM141">
        <v>122</v>
      </c>
      <c r="AN141" s="3">
        <f t="shared" si="54"/>
        <v>16.464237516869098</v>
      </c>
      <c r="AO141" t="s">
        <v>370</v>
      </c>
      <c r="AP141" s="72">
        <f>Дума_партии[[#This Row],[КОИБ]]</f>
        <v>2017</v>
      </c>
      <c r="AQ141" s="1">
        <f>IF(Дума_партии[[#This Row],[Наблюдателей]]=0,"",Дума_партии[[#This Row],[Наблюдателей]])</f>
        <v>2</v>
      </c>
      <c r="AR141"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9.3394495412843526</v>
      </c>
      <c r="AS141" s="10">
        <f>2*(Мособлдума_одномандатный_6[[#This Row],[Лазутина Лариса Евгеньевна]]-(AC$203/100)*Мособлдума_одномандатный_6[[#This Row],[Число действительных бюллетеней]])</f>
        <v>12.215999999999951</v>
      </c>
      <c r="AT141" s="10">
        <f>(Мособлдума_одномандатный_6[[#This Row],[Вброс]]+Мособлдума_одномандатный_6[[#This Row],[Перекладывание]])/2</f>
        <v>10.777724770642152</v>
      </c>
    </row>
    <row r="142" spans="2:46" x14ac:dyDescent="0.4">
      <c r="B142" t="s">
        <v>74</v>
      </c>
      <c r="C142" t="s">
        <v>366</v>
      </c>
      <c r="D142" t="s">
        <v>227</v>
      </c>
      <c r="E142" t="s">
        <v>270</v>
      </c>
      <c r="F142" s="1">
        <f t="shared" ca="1" si="43"/>
        <v>2011</v>
      </c>
      <c r="G142" s="8" t="str">
        <f>Дума_партии[[#This Row],[Местоположение]]</f>
        <v>Одинцово</v>
      </c>
      <c r="H142" s="2" t="str">
        <f>LEFT(Мособлдума_одномандатный_6[[#This Row],[tik]],4)&amp;"."&amp;IF(ISNUMBER(VALUE(RIGHT(Мособлдума_одномандатный_6[[#This Row],[tik]]))),RIGHT(Мособлдума_одномандатный_6[[#This Row],[tik]]),"")</f>
        <v>Один.2</v>
      </c>
      <c r="I142">
        <v>1800</v>
      </c>
      <c r="J142" s="8">
        <f>Мособлдума_одномандатный_6[[#This Row],[Число избирателей, внесенных в список на момент окончания голосования]]</f>
        <v>1800</v>
      </c>
      <c r="K142">
        <v>1500</v>
      </c>
      <c r="M142">
        <v>1100</v>
      </c>
      <c r="N142">
        <v>159</v>
      </c>
      <c r="O142" s="3">
        <f t="shared" si="44"/>
        <v>69.944444444444443</v>
      </c>
      <c r="P142" s="3">
        <f t="shared" si="45"/>
        <v>8.8333333333333339</v>
      </c>
      <c r="Q142">
        <v>241</v>
      </c>
      <c r="R142">
        <v>159</v>
      </c>
      <c r="S142">
        <v>1100</v>
      </c>
      <c r="T142" s="1">
        <f t="shared" si="46"/>
        <v>1259</v>
      </c>
      <c r="U142" s="3">
        <f t="shared" si="47"/>
        <v>12.629070691024623</v>
      </c>
      <c r="V142">
        <v>167</v>
      </c>
      <c r="W142" s="3">
        <f t="shared" si="48"/>
        <v>13.264495631453535</v>
      </c>
      <c r="X142">
        <v>1092</v>
      </c>
      <c r="Y142">
        <v>0</v>
      </c>
      <c r="Z142">
        <v>0</v>
      </c>
      <c r="AA142">
        <v>289</v>
      </c>
      <c r="AB142" s="3">
        <f t="shared" si="49"/>
        <v>22.954725972994439</v>
      </c>
      <c r="AC142">
        <v>25</v>
      </c>
      <c r="AD142" s="3">
        <f t="shared" si="50"/>
        <v>1.9857029388403495</v>
      </c>
      <c r="AE142">
        <v>15</v>
      </c>
      <c r="AF142" s="3">
        <f t="shared" si="51"/>
        <v>1.1914217633042097</v>
      </c>
      <c r="AG142">
        <v>21</v>
      </c>
      <c r="AH142" s="3">
        <f t="shared" si="52"/>
        <v>1.6679904686258935</v>
      </c>
      <c r="AI142">
        <v>712</v>
      </c>
      <c r="AJ142" s="3">
        <f t="shared" si="53"/>
        <v>56.552819698173153</v>
      </c>
      <c r="AK142">
        <v>12</v>
      </c>
      <c r="AL142" s="3">
        <f t="shared" si="42"/>
        <v>0.95313741064336777</v>
      </c>
      <c r="AM142">
        <v>18</v>
      </c>
      <c r="AN142" s="3">
        <f t="shared" si="54"/>
        <v>1.4297061159650517</v>
      </c>
      <c r="AO142" t="s">
        <v>370</v>
      </c>
      <c r="AP142" s="72">
        <f>Дума_партии[[#This Row],[КОИБ]]</f>
        <v>2017</v>
      </c>
      <c r="AQ142" s="1" t="str">
        <f>IF(Дума_партии[[#This Row],[Наблюдателей]]=0,"",Дума_партии[[#This Row],[Наблюдателей]])</f>
        <v/>
      </c>
      <c r="AR142"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510.960244648318</v>
      </c>
      <c r="AS142" s="10">
        <f>2*(Мособлдума_одномандатный_6[[#This Row],[Лазутина Лариса Евгеньевна]]-(AC$203/100)*Мособлдума_одномандатный_6[[#This Row],[Число действительных бюллетеней]])</f>
        <v>668.3359999999999</v>
      </c>
      <c r="AT142" s="10">
        <f>(Мособлдума_одномандатный_6[[#This Row],[Вброс]]+Мособлдума_одномандатный_6[[#This Row],[Перекладывание]])/2</f>
        <v>589.64812232415898</v>
      </c>
    </row>
    <row r="143" spans="2:46" x14ac:dyDescent="0.4">
      <c r="B143" t="s">
        <v>74</v>
      </c>
      <c r="C143" t="s">
        <v>366</v>
      </c>
      <c r="D143" t="s">
        <v>227</v>
      </c>
      <c r="E143" t="s">
        <v>271</v>
      </c>
      <c r="F143" s="1">
        <f t="shared" ca="1" si="43"/>
        <v>2013</v>
      </c>
      <c r="G143" s="8" t="str">
        <f>Дума_партии[[#This Row],[Местоположение]]</f>
        <v>Одинцово</v>
      </c>
      <c r="H143" s="2" t="str">
        <f>LEFT(Мособлдума_одномандатный_6[[#This Row],[tik]],4)&amp;"."&amp;IF(ISNUMBER(VALUE(RIGHT(Мособлдума_одномандатный_6[[#This Row],[tik]]))),RIGHT(Мособлдума_одномандатный_6[[#This Row],[tik]]),"")</f>
        <v>Один.2</v>
      </c>
      <c r="I143">
        <v>2162</v>
      </c>
      <c r="J143" s="8">
        <f>Мособлдума_одномандатный_6[[#This Row],[Число избирателей, внесенных в список на момент окончания голосования]]</f>
        <v>2162</v>
      </c>
      <c r="K143">
        <v>2000</v>
      </c>
      <c r="M143">
        <v>675</v>
      </c>
      <c r="N143">
        <v>6</v>
      </c>
      <c r="O143" s="3">
        <f t="shared" si="44"/>
        <v>31.498612395929694</v>
      </c>
      <c r="P143" s="3">
        <f t="shared" si="45"/>
        <v>0.27752081406105455</v>
      </c>
      <c r="Q143">
        <v>1319</v>
      </c>
      <c r="R143">
        <v>6</v>
      </c>
      <c r="S143">
        <v>675</v>
      </c>
      <c r="T143" s="1">
        <f t="shared" si="46"/>
        <v>681</v>
      </c>
      <c r="U143" s="3">
        <f t="shared" si="47"/>
        <v>0.88105726872246692</v>
      </c>
      <c r="V143">
        <v>50</v>
      </c>
      <c r="W143" s="3">
        <f t="shared" si="48"/>
        <v>7.3421439060205582</v>
      </c>
      <c r="X143">
        <v>631</v>
      </c>
      <c r="Y143">
        <v>0</v>
      </c>
      <c r="Z143">
        <v>0</v>
      </c>
      <c r="AA143">
        <v>148</v>
      </c>
      <c r="AB143" s="3">
        <f t="shared" si="49"/>
        <v>21.73274596182085</v>
      </c>
      <c r="AC143">
        <v>34</v>
      </c>
      <c r="AD143" s="3">
        <f t="shared" si="50"/>
        <v>4.9926578560939792</v>
      </c>
      <c r="AE143">
        <v>16</v>
      </c>
      <c r="AF143" s="3">
        <f t="shared" si="51"/>
        <v>2.3494860499265786</v>
      </c>
      <c r="AG143">
        <v>22</v>
      </c>
      <c r="AH143" s="3">
        <f t="shared" si="52"/>
        <v>3.2305433186490453</v>
      </c>
      <c r="AI143">
        <v>214</v>
      </c>
      <c r="AJ143" s="3">
        <f t="shared" si="53"/>
        <v>31.424375917767989</v>
      </c>
      <c r="AK143">
        <v>60</v>
      </c>
      <c r="AL143" s="3">
        <f t="shared" si="42"/>
        <v>8.8105726872246688</v>
      </c>
      <c r="AM143">
        <v>137</v>
      </c>
      <c r="AN143" s="3">
        <f t="shared" si="54"/>
        <v>20.11747430249633</v>
      </c>
      <c r="AO143" t="s">
        <v>370</v>
      </c>
      <c r="AP143" s="72">
        <f>Дума_партии[[#This Row],[КОИБ]]</f>
        <v>2017</v>
      </c>
      <c r="AQ143" s="1">
        <f>IF(Дума_партии[[#This Row],[Наблюдателей]]=0,"",Дума_партии[[#This Row],[Наблюдателей]])</f>
        <v>1</v>
      </c>
      <c r="AR143"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-6.6146788990826337</v>
      </c>
      <c r="AS143" s="10">
        <f>2*(Мособлдума_одномандатный_6[[#This Row],[Лазутина Лариса Евгеньевна]]-(AC$203/100)*Мособлдума_одномандатный_6[[#This Row],[Число действительных бюллетеней]])</f>
        <v>-8.6520000000000437</v>
      </c>
      <c r="AT143" s="10">
        <f>(Мособлдума_одномандатный_6[[#This Row],[Вброс]]+Мособлдума_одномандатный_6[[#This Row],[Перекладывание]])/2</f>
        <v>-7.6333394495413387</v>
      </c>
    </row>
    <row r="144" spans="2:46" x14ac:dyDescent="0.4">
      <c r="B144" t="s">
        <v>74</v>
      </c>
      <c r="C144" t="s">
        <v>366</v>
      </c>
      <c r="D144" t="s">
        <v>227</v>
      </c>
      <c r="E144" t="s">
        <v>272</v>
      </c>
      <c r="F144" s="1">
        <f t="shared" ca="1" si="43"/>
        <v>2015</v>
      </c>
      <c r="G144" s="8" t="str">
        <f>Дума_партии[[#This Row],[Местоположение]]</f>
        <v>Одинцово</v>
      </c>
      <c r="H144" s="2" t="str">
        <f>LEFT(Мособлдума_одномандатный_6[[#This Row],[tik]],4)&amp;"."&amp;IF(ISNUMBER(VALUE(RIGHT(Мособлдума_одномандатный_6[[#This Row],[tik]]))),RIGHT(Мособлдума_одномандатный_6[[#This Row],[tik]]),"")</f>
        <v>Один.2</v>
      </c>
      <c r="I144">
        <v>2058</v>
      </c>
      <c r="J144" s="8">
        <f>Мособлдума_одномандатный_6[[#This Row],[Число избирателей, внесенных в список на момент окончания голосования]]</f>
        <v>2058</v>
      </c>
      <c r="K144">
        <v>2000</v>
      </c>
      <c r="M144">
        <v>762</v>
      </c>
      <c r="N144">
        <v>42</v>
      </c>
      <c r="O144" s="3">
        <f t="shared" si="44"/>
        <v>39.067055393586003</v>
      </c>
      <c r="P144" s="3">
        <f t="shared" si="45"/>
        <v>2.0408163265306123</v>
      </c>
      <c r="Q144">
        <v>1196</v>
      </c>
      <c r="R144">
        <v>38</v>
      </c>
      <c r="S144">
        <v>742</v>
      </c>
      <c r="T144" s="1">
        <f t="shared" si="46"/>
        <v>780</v>
      </c>
      <c r="U144" s="3">
        <f t="shared" si="47"/>
        <v>4.8717948717948714</v>
      </c>
      <c r="V144">
        <v>43</v>
      </c>
      <c r="W144" s="3">
        <f t="shared" si="48"/>
        <v>5.5128205128205128</v>
      </c>
      <c r="X144">
        <v>737</v>
      </c>
      <c r="Y144">
        <v>0</v>
      </c>
      <c r="Z144">
        <v>0</v>
      </c>
      <c r="AA144">
        <v>162</v>
      </c>
      <c r="AB144" s="3">
        <f t="shared" si="49"/>
        <v>20.76923076923077</v>
      </c>
      <c r="AC144">
        <v>31</v>
      </c>
      <c r="AD144" s="3">
        <f t="shared" si="50"/>
        <v>3.9743589743589745</v>
      </c>
      <c r="AE144">
        <v>10</v>
      </c>
      <c r="AF144" s="3">
        <f t="shared" si="51"/>
        <v>1.2820512820512822</v>
      </c>
      <c r="AG144">
        <v>23</v>
      </c>
      <c r="AH144" s="3">
        <f t="shared" si="52"/>
        <v>2.9487179487179489</v>
      </c>
      <c r="AI144">
        <v>283</v>
      </c>
      <c r="AJ144" s="3">
        <f t="shared" si="53"/>
        <v>36.282051282051285</v>
      </c>
      <c r="AK144">
        <v>56</v>
      </c>
      <c r="AL144" s="3">
        <f t="shared" si="42"/>
        <v>7.1794871794871797</v>
      </c>
      <c r="AM144">
        <v>172</v>
      </c>
      <c r="AN144" s="3">
        <f t="shared" si="54"/>
        <v>22.051282051282051</v>
      </c>
      <c r="AO144" t="s">
        <v>370</v>
      </c>
      <c r="AP144" s="72">
        <f>Дума_партии[[#This Row],[КОИБ]]</f>
        <v>2017</v>
      </c>
      <c r="AQ144" s="1" t="str">
        <f>IF(Дума_партии[[#This Row],[Наблюдателей]]=0,"",Дума_партии[[#This Row],[Наблюдателей]])</f>
        <v/>
      </c>
      <c r="AR144"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42.810397553516765</v>
      </c>
      <c r="AS144" s="10">
        <f>2*(Мособлдума_одномандатный_6[[#This Row],[Лазутина Лариса Евгеньевна]]-(AC$203/100)*Мособлдума_одномандатный_6[[#This Row],[Число действительных бюллетеней]])</f>
        <v>55.995999999999981</v>
      </c>
      <c r="AT144" s="10">
        <f>(Мособлдума_одномандатный_6[[#This Row],[Вброс]]+Мособлдума_одномандатный_6[[#This Row],[Перекладывание]])/2</f>
        <v>49.403198776758373</v>
      </c>
    </row>
    <row r="145" spans="2:46" x14ac:dyDescent="0.4">
      <c r="B145" t="s">
        <v>74</v>
      </c>
      <c r="C145" t="s">
        <v>366</v>
      </c>
      <c r="D145" t="s">
        <v>227</v>
      </c>
      <c r="E145" t="s">
        <v>273</v>
      </c>
      <c r="F145" s="1">
        <f t="shared" ca="1" si="43"/>
        <v>2017</v>
      </c>
      <c r="G145" s="8" t="str">
        <f>Дума_партии[[#This Row],[Местоположение]]</f>
        <v>Одинцово</v>
      </c>
      <c r="H145" s="2" t="str">
        <f>LEFT(Мособлдума_одномандатный_6[[#This Row],[tik]],4)&amp;"."&amp;IF(ISNUMBER(VALUE(RIGHT(Мособлдума_одномандатный_6[[#This Row],[tik]]))),RIGHT(Мособлдума_одномандатный_6[[#This Row],[tik]]),"")</f>
        <v>Один.2</v>
      </c>
      <c r="I145">
        <v>2109</v>
      </c>
      <c r="J145" s="8">
        <f>Мособлдума_одномандатный_6[[#This Row],[Число избирателей, внесенных в список на момент окончания голосования]]</f>
        <v>2109</v>
      </c>
      <c r="K145">
        <v>1600</v>
      </c>
      <c r="M145">
        <v>713</v>
      </c>
      <c r="N145">
        <v>43</v>
      </c>
      <c r="O145" s="3">
        <f t="shared" si="44"/>
        <v>35.846372688477949</v>
      </c>
      <c r="P145" s="3">
        <f t="shared" si="45"/>
        <v>2.0388809862494073</v>
      </c>
      <c r="Q145">
        <v>844</v>
      </c>
      <c r="R145">
        <v>43</v>
      </c>
      <c r="S145">
        <v>670</v>
      </c>
      <c r="T145" s="1">
        <f t="shared" si="46"/>
        <v>713</v>
      </c>
      <c r="U145" s="3">
        <f t="shared" si="47"/>
        <v>6.0308555399719497</v>
      </c>
      <c r="V145">
        <v>42</v>
      </c>
      <c r="W145" s="3">
        <f t="shared" si="48"/>
        <v>5.8906030855539973</v>
      </c>
      <c r="X145">
        <v>671</v>
      </c>
      <c r="Y145">
        <v>0</v>
      </c>
      <c r="Z145">
        <v>0</v>
      </c>
      <c r="AA145">
        <v>160</v>
      </c>
      <c r="AB145" s="3">
        <f t="shared" si="49"/>
        <v>22.44039270687237</v>
      </c>
      <c r="AC145">
        <v>32</v>
      </c>
      <c r="AD145" s="3">
        <f t="shared" si="50"/>
        <v>4.4880785413744739</v>
      </c>
      <c r="AE145">
        <v>15</v>
      </c>
      <c r="AF145" s="3">
        <f t="shared" si="51"/>
        <v>2.1037868162692845</v>
      </c>
      <c r="AG145">
        <v>23</v>
      </c>
      <c r="AH145" s="3">
        <f t="shared" si="52"/>
        <v>3.225806451612903</v>
      </c>
      <c r="AI145">
        <v>262</v>
      </c>
      <c r="AJ145" s="3">
        <f t="shared" si="53"/>
        <v>36.74614305750351</v>
      </c>
      <c r="AK145">
        <v>48</v>
      </c>
      <c r="AL145" s="3">
        <f t="shared" si="42"/>
        <v>6.7321178120617109</v>
      </c>
      <c r="AM145">
        <v>131</v>
      </c>
      <c r="AN145" s="3">
        <f t="shared" si="54"/>
        <v>18.373071528751755</v>
      </c>
      <c r="AO145" t="s">
        <v>370</v>
      </c>
      <c r="AP145" s="72">
        <f>Дума_партии[[#This Row],[КОИБ]]</f>
        <v>2017</v>
      </c>
      <c r="AQ145" s="1" t="str">
        <f>IF(Дума_партии[[#This Row],[Наблюдателей]]=0,"",Дума_партии[[#This Row],[Наблюдателей]])</f>
        <v/>
      </c>
      <c r="AR145"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45.617737003058068</v>
      </c>
      <c r="AS145" s="10">
        <f>2*(Мособлдума_одномандатный_6[[#This Row],[Лазутина Лариса Евгеньевна]]-(AC$203/100)*Мособлдума_одномандатный_6[[#This Row],[Число действительных бюллетеней]])</f>
        <v>59.66799999999995</v>
      </c>
      <c r="AT145" s="10">
        <f>(Мособлдума_одномандатный_6[[#This Row],[Вброс]]+Мособлдума_одномандатный_6[[#This Row],[Перекладывание]])/2</f>
        <v>52.642868501529009</v>
      </c>
    </row>
    <row r="146" spans="2:46" x14ac:dyDescent="0.4">
      <c r="B146" t="s">
        <v>74</v>
      </c>
      <c r="C146" t="s">
        <v>366</v>
      </c>
      <c r="D146" t="s">
        <v>227</v>
      </c>
      <c r="E146" t="s">
        <v>274</v>
      </c>
      <c r="F146" s="1">
        <f t="shared" ca="1" si="43"/>
        <v>2019</v>
      </c>
      <c r="G146" s="8" t="str">
        <f>Дума_партии[[#This Row],[Местоположение]]</f>
        <v>Одинцово</v>
      </c>
      <c r="H146" s="2" t="str">
        <f>LEFT(Мособлдума_одномандатный_6[[#This Row],[tik]],4)&amp;"."&amp;IF(ISNUMBER(VALUE(RIGHT(Мособлдума_одномандатный_6[[#This Row],[tik]]))),RIGHT(Мособлдума_одномандатный_6[[#This Row],[tik]]),"")</f>
        <v>Один.2</v>
      </c>
      <c r="I146">
        <v>1251</v>
      </c>
      <c r="J146" s="8">
        <f>Мособлдума_одномандатный_6[[#This Row],[Число избирателей, внесенных в список на момент окончания голосования]]</f>
        <v>1251</v>
      </c>
      <c r="K146">
        <v>1000</v>
      </c>
      <c r="M146">
        <v>366</v>
      </c>
      <c r="N146">
        <v>3</v>
      </c>
      <c r="O146" s="3">
        <f t="shared" si="44"/>
        <v>29.496402877697843</v>
      </c>
      <c r="P146" s="3">
        <f t="shared" si="45"/>
        <v>0.23980815347721823</v>
      </c>
      <c r="Q146">
        <v>631</v>
      </c>
      <c r="R146">
        <v>3</v>
      </c>
      <c r="S146">
        <v>365</v>
      </c>
      <c r="T146" s="1">
        <f t="shared" si="46"/>
        <v>368</v>
      </c>
      <c r="U146" s="3">
        <f t="shared" si="47"/>
        <v>0.81521739130434778</v>
      </c>
      <c r="V146">
        <v>23</v>
      </c>
      <c r="W146" s="3">
        <f t="shared" si="48"/>
        <v>6.25</v>
      </c>
      <c r="X146">
        <v>345</v>
      </c>
      <c r="Y146">
        <v>0</v>
      </c>
      <c r="Z146">
        <v>0</v>
      </c>
      <c r="AA146">
        <v>101</v>
      </c>
      <c r="AB146" s="3">
        <f t="shared" si="49"/>
        <v>27.445652173913043</v>
      </c>
      <c r="AC146">
        <v>13</v>
      </c>
      <c r="AD146" s="3">
        <f t="shared" si="50"/>
        <v>3.5326086956521738</v>
      </c>
      <c r="AE146">
        <v>8</v>
      </c>
      <c r="AF146" s="3">
        <f t="shared" si="51"/>
        <v>2.1739130434782608</v>
      </c>
      <c r="AG146">
        <v>10</v>
      </c>
      <c r="AH146" s="3">
        <f t="shared" si="52"/>
        <v>2.7173913043478262</v>
      </c>
      <c r="AI146">
        <v>106</v>
      </c>
      <c r="AJ146" s="3">
        <f t="shared" si="53"/>
        <v>28.804347826086957</v>
      </c>
      <c r="AK146">
        <v>31</v>
      </c>
      <c r="AL146" s="3">
        <f t="shared" si="42"/>
        <v>8.4239130434782616</v>
      </c>
      <c r="AM146">
        <v>76</v>
      </c>
      <c r="AN146" s="3">
        <f t="shared" si="54"/>
        <v>20.652173913043477</v>
      </c>
      <c r="AO146" t="s">
        <v>370</v>
      </c>
      <c r="AP146" s="72">
        <f>Дума_партии[[#This Row],[КОИБ]]</f>
        <v>2017</v>
      </c>
      <c r="AQ146" s="1">
        <f>IF(Дума_партии[[#This Row],[Наблюдателей]]=0,"",Дума_партии[[#This Row],[Наблюдателей]])</f>
        <v>1</v>
      </c>
      <c r="AR146"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-20.443425076452627</v>
      </c>
      <c r="AS146" s="10">
        <f>2*(Мособлдума_одномандатный_6[[#This Row],[Лазутина Лариса Евгеньевна]]-(AC$203/100)*Мособлдума_одномандатный_6[[#This Row],[Число действительных бюллетеней]])</f>
        <v>-26.740000000000009</v>
      </c>
      <c r="AT146" s="10">
        <f>(Мособлдума_одномандатный_6[[#This Row],[Вброс]]+Мособлдума_одномандатный_6[[#This Row],[Перекладывание]])/2</f>
        <v>-23.591712538226318</v>
      </c>
    </row>
    <row r="147" spans="2:46" x14ac:dyDescent="0.4">
      <c r="B147" t="s">
        <v>74</v>
      </c>
      <c r="C147" t="s">
        <v>366</v>
      </c>
      <c r="D147" t="s">
        <v>227</v>
      </c>
      <c r="E147" t="s">
        <v>275</v>
      </c>
      <c r="F147" s="1">
        <f t="shared" ca="1" si="43"/>
        <v>2020</v>
      </c>
      <c r="G147" s="8" t="str">
        <f>Дума_партии[[#This Row],[Местоположение]]</f>
        <v>Одинцово</v>
      </c>
      <c r="H147" s="2" t="str">
        <f>LEFT(Мособлдума_одномандатный_6[[#This Row],[tik]],4)&amp;"."&amp;IF(ISNUMBER(VALUE(RIGHT(Мособлдума_одномандатный_6[[#This Row],[tik]]))),RIGHT(Мособлдума_одномандатный_6[[#This Row],[tik]]),"")</f>
        <v>Один.2</v>
      </c>
      <c r="I147">
        <v>1278</v>
      </c>
      <c r="J147" s="8">
        <f>Мособлдума_одномандатный_6[[#This Row],[Число избирателей, внесенных в список на момент окончания голосования]]</f>
        <v>1278</v>
      </c>
      <c r="K147">
        <v>1000</v>
      </c>
      <c r="M147">
        <v>455</v>
      </c>
      <c r="N147">
        <v>7</v>
      </c>
      <c r="O147" s="3">
        <f t="shared" si="44"/>
        <v>36.15023474178404</v>
      </c>
      <c r="P147" s="3">
        <f t="shared" si="45"/>
        <v>0.54773082942097029</v>
      </c>
      <c r="Q147">
        <v>538</v>
      </c>
      <c r="R147">
        <v>7</v>
      </c>
      <c r="S147">
        <v>455</v>
      </c>
      <c r="T147" s="1">
        <f t="shared" si="46"/>
        <v>462</v>
      </c>
      <c r="U147" s="3">
        <f t="shared" si="47"/>
        <v>1.5151515151515151</v>
      </c>
      <c r="V147">
        <v>23</v>
      </c>
      <c r="W147" s="3">
        <f t="shared" si="48"/>
        <v>4.9783549783549788</v>
      </c>
      <c r="X147">
        <v>439</v>
      </c>
      <c r="Y147">
        <v>0</v>
      </c>
      <c r="Z147">
        <v>0</v>
      </c>
      <c r="AA147">
        <v>126</v>
      </c>
      <c r="AB147" s="3">
        <f t="shared" si="49"/>
        <v>27.272727272727273</v>
      </c>
      <c r="AC147">
        <v>23</v>
      </c>
      <c r="AD147" s="3">
        <f t="shared" si="50"/>
        <v>4.9783549783549788</v>
      </c>
      <c r="AE147">
        <v>12</v>
      </c>
      <c r="AF147" s="3">
        <f t="shared" si="51"/>
        <v>2.5974025974025974</v>
      </c>
      <c r="AG147">
        <v>18</v>
      </c>
      <c r="AH147" s="3">
        <f t="shared" si="52"/>
        <v>3.8961038961038961</v>
      </c>
      <c r="AI147">
        <v>149</v>
      </c>
      <c r="AJ147" s="3">
        <f t="shared" si="53"/>
        <v>32.251082251082252</v>
      </c>
      <c r="AK147">
        <v>32</v>
      </c>
      <c r="AL147" s="3">
        <f t="shared" si="42"/>
        <v>6.9264069264069263</v>
      </c>
      <c r="AM147">
        <v>79</v>
      </c>
      <c r="AN147" s="3">
        <f t="shared" si="54"/>
        <v>17.0995670995671</v>
      </c>
      <c r="AO147" t="s">
        <v>370</v>
      </c>
      <c r="AP147" s="72">
        <f>Дума_партии[[#This Row],[КОИБ]]</f>
        <v>2017</v>
      </c>
      <c r="AQ147" s="1" t="str">
        <f>IF(Дума_партии[[#This Row],[Наблюдателей]]=0,"",Дума_партии[[#This Row],[Наблюдателей]])</f>
        <v/>
      </c>
      <c r="AR147"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-4.4250764525994271</v>
      </c>
      <c r="AS147" s="10">
        <f>2*(Мособлдума_одномандатный_6[[#This Row],[Лазутина Лариса Евгеньевна]]-(AC$203/100)*Мособлдума_одномандатный_6[[#This Row],[Число действительных бюллетеней]])</f>
        <v>-5.7880000000000109</v>
      </c>
      <c r="AT147" s="10">
        <f>(Мособлдума_одномандатный_6[[#This Row],[Вброс]]+Мособлдума_одномандатный_6[[#This Row],[Перекладывание]])/2</f>
        <v>-5.106538226299719</v>
      </c>
    </row>
    <row r="148" spans="2:46" x14ac:dyDescent="0.4">
      <c r="B148" t="s">
        <v>74</v>
      </c>
      <c r="C148" t="s">
        <v>366</v>
      </c>
      <c r="D148" t="s">
        <v>227</v>
      </c>
      <c r="E148" t="s">
        <v>276</v>
      </c>
      <c r="F148" s="1">
        <f t="shared" ca="1" si="43"/>
        <v>2021</v>
      </c>
      <c r="G148" s="8" t="str">
        <f>Дума_партии[[#This Row],[Местоположение]]</f>
        <v>Одинцово</v>
      </c>
      <c r="H148" s="2" t="str">
        <f>LEFT(Мособлдума_одномандатный_6[[#This Row],[tik]],4)&amp;"."&amp;IF(ISNUMBER(VALUE(RIGHT(Мособлдума_одномандатный_6[[#This Row],[tik]]))),RIGHT(Мособлдума_одномандатный_6[[#This Row],[tik]]),"")</f>
        <v>Один.2</v>
      </c>
      <c r="I148">
        <v>981</v>
      </c>
      <c r="J148" s="8">
        <f>Мособлдума_одномандатный_6[[#This Row],[Число избирателей, внесенных в список на момент окончания голосования]]</f>
        <v>981</v>
      </c>
      <c r="K148">
        <v>800</v>
      </c>
      <c r="M148">
        <v>312</v>
      </c>
      <c r="N148">
        <v>8</v>
      </c>
      <c r="O148" s="3">
        <f t="shared" si="44"/>
        <v>32.619775739041792</v>
      </c>
      <c r="P148" s="3">
        <f t="shared" si="45"/>
        <v>0.8154943934760448</v>
      </c>
      <c r="Q148">
        <v>480</v>
      </c>
      <c r="R148">
        <v>8</v>
      </c>
      <c r="S148">
        <v>312</v>
      </c>
      <c r="T148" s="1">
        <f t="shared" si="46"/>
        <v>320</v>
      </c>
      <c r="U148" s="3">
        <f t="shared" si="47"/>
        <v>2.5</v>
      </c>
      <c r="V148">
        <v>113</v>
      </c>
      <c r="W148" s="3">
        <f t="shared" si="48"/>
        <v>35.3125</v>
      </c>
      <c r="X148">
        <v>207</v>
      </c>
      <c r="Y148">
        <v>0</v>
      </c>
      <c r="Z148">
        <v>0</v>
      </c>
      <c r="AA148">
        <v>49</v>
      </c>
      <c r="AB148" s="3">
        <f t="shared" si="49"/>
        <v>15.3125</v>
      </c>
      <c r="AC148">
        <v>13</v>
      </c>
      <c r="AD148" s="3">
        <f t="shared" si="50"/>
        <v>4.0625</v>
      </c>
      <c r="AE148">
        <v>4</v>
      </c>
      <c r="AF148" s="3">
        <f t="shared" si="51"/>
        <v>1.25</v>
      </c>
      <c r="AG148">
        <v>7</v>
      </c>
      <c r="AH148" s="3">
        <f t="shared" si="52"/>
        <v>2.1875</v>
      </c>
      <c r="AI148">
        <v>76</v>
      </c>
      <c r="AJ148" s="3">
        <f t="shared" si="53"/>
        <v>23.75</v>
      </c>
      <c r="AK148">
        <v>11</v>
      </c>
      <c r="AL148" s="3">
        <f t="shared" si="42"/>
        <v>3.4375</v>
      </c>
      <c r="AM148">
        <v>47</v>
      </c>
      <c r="AN148" s="3">
        <f t="shared" si="54"/>
        <v>14.6875</v>
      </c>
      <c r="AO148" t="s">
        <v>370</v>
      </c>
      <c r="AP148" s="72">
        <f>Дума_партии[[#This Row],[КОИБ]]</f>
        <v>2017</v>
      </c>
      <c r="AQ148" s="1">
        <f>IF(Дума_партии[[#This Row],[Наблюдателей]]=0,"",Дума_партии[[#This Row],[Наблюдателей]])</f>
        <v>2</v>
      </c>
      <c r="AR148"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6.6941896024464711</v>
      </c>
      <c r="AS148" s="10">
        <f>2*(Мособлдума_одномандатный_6[[#This Row],[Лазутина Лариса Евгеньевна]]-(AC$203/100)*Мособлдума_одномандатный_6[[#This Row],[Число действительных бюллетеней]])</f>
        <v>8.7560000000000002</v>
      </c>
      <c r="AT148" s="10">
        <f>(Мособлдума_одномандатный_6[[#This Row],[Вброс]]+Мособлдума_одномандатный_6[[#This Row],[Перекладывание]])/2</f>
        <v>7.7250948012232357</v>
      </c>
    </row>
    <row r="149" spans="2:46" x14ac:dyDescent="0.4">
      <c r="B149" t="s">
        <v>74</v>
      </c>
      <c r="C149" t="s">
        <v>366</v>
      </c>
      <c r="D149" t="s">
        <v>227</v>
      </c>
      <c r="E149" t="s">
        <v>277</v>
      </c>
      <c r="F149" s="1">
        <f t="shared" ca="1" si="43"/>
        <v>2022</v>
      </c>
      <c r="G149" s="8" t="str">
        <f>Дума_партии[[#This Row],[Местоположение]]</f>
        <v>Одинцово</v>
      </c>
      <c r="H149" s="2" t="str">
        <f>LEFT(Мособлдума_одномандатный_6[[#This Row],[tik]],4)&amp;"."&amp;IF(ISNUMBER(VALUE(RIGHT(Мособлдума_одномандатный_6[[#This Row],[tik]]))),RIGHT(Мособлдума_одномандатный_6[[#This Row],[tik]]),"")</f>
        <v>Один.2</v>
      </c>
      <c r="I149">
        <v>1911</v>
      </c>
      <c r="J149" s="8">
        <f>Мособлдума_одномандатный_6[[#This Row],[Число избирателей, внесенных в список на момент окончания голосования]]</f>
        <v>1911</v>
      </c>
      <c r="K149">
        <v>1500</v>
      </c>
      <c r="M149">
        <v>590</v>
      </c>
      <c r="N149">
        <v>39</v>
      </c>
      <c r="O149" s="3">
        <f t="shared" si="44"/>
        <v>32.914704343275773</v>
      </c>
      <c r="P149" s="3">
        <f t="shared" si="45"/>
        <v>2.0408163265306123</v>
      </c>
      <c r="Q149">
        <v>871</v>
      </c>
      <c r="R149">
        <v>39</v>
      </c>
      <c r="S149">
        <v>590</v>
      </c>
      <c r="T149" s="1">
        <f t="shared" si="46"/>
        <v>629</v>
      </c>
      <c r="U149" s="3">
        <f t="shared" si="47"/>
        <v>6.2003179650238476</v>
      </c>
      <c r="V149">
        <v>25</v>
      </c>
      <c r="W149" s="3">
        <f t="shared" si="48"/>
        <v>3.9745627980922098</v>
      </c>
      <c r="X149">
        <v>604</v>
      </c>
      <c r="Y149">
        <v>0</v>
      </c>
      <c r="Z149">
        <v>0</v>
      </c>
      <c r="AA149">
        <v>146</v>
      </c>
      <c r="AB149" s="3">
        <f t="shared" si="49"/>
        <v>23.211446740858506</v>
      </c>
      <c r="AC149">
        <v>32</v>
      </c>
      <c r="AD149" s="3">
        <f t="shared" si="50"/>
        <v>5.0874403815580287</v>
      </c>
      <c r="AE149">
        <v>14</v>
      </c>
      <c r="AF149" s="3">
        <f t="shared" si="51"/>
        <v>2.2257551669316373</v>
      </c>
      <c r="AG149">
        <v>30</v>
      </c>
      <c r="AH149" s="3">
        <f t="shared" si="52"/>
        <v>4.7694753577106521</v>
      </c>
      <c r="AI149">
        <v>208</v>
      </c>
      <c r="AJ149" s="3">
        <f t="shared" si="53"/>
        <v>33.068362480127185</v>
      </c>
      <c r="AK149">
        <v>50</v>
      </c>
      <c r="AL149" s="3">
        <f t="shared" si="42"/>
        <v>7.9491255961844196</v>
      </c>
      <c r="AM149">
        <v>124</v>
      </c>
      <c r="AN149" s="3">
        <f t="shared" si="54"/>
        <v>19.713831478537362</v>
      </c>
      <c r="AO149" t="s">
        <v>370</v>
      </c>
      <c r="AP149" s="72">
        <f>Дума_партии[[#This Row],[КОИБ]]</f>
        <v>2017</v>
      </c>
      <c r="AQ149" s="1" t="str">
        <f>IF(Дума_партии[[#This Row],[Наблюдателей]]=0,"",Дума_партии[[#This Row],[Наблюдателей]])</f>
        <v/>
      </c>
      <c r="AR149"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-1.5045871559633497</v>
      </c>
      <c r="AS149" s="10">
        <f>2*(Мособлдума_одномандатный_6[[#This Row],[Лазутина Лариса Евгеньевна]]-(AC$203/100)*Мособлдума_одномандатный_6[[#This Row],[Число действительных бюллетеней]])</f>
        <v>-1.9680000000000177</v>
      </c>
      <c r="AT149" s="10">
        <f>(Мособлдума_одномандатный_6[[#This Row],[Вброс]]+Мособлдума_одномандатный_6[[#This Row],[Перекладывание]])/2</f>
        <v>-1.7362935779816837</v>
      </c>
    </row>
    <row r="150" spans="2:46" x14ac:dyDescent="0.4">
      <c r="B150" t="s">
        <v>74</v>
      </c>
      <c r="C150" t="s">
        <v>366</v>
      </c>
      <c r="D150" t="s">
        <v>227</v>
      </c>
      <c r="E150" t="s">
        <v>278</v>
      </c>
      <c r="F150" s="1">
        <f t="shared" ca="1" si="43"/>
        <v>2024</v>
      </c>
      <c r="G150" s="8" t="str">
        <f>Дума_партии[[#This Row],[Местоположение]]</f>
        <v>Одинцово</v>
      </c>
      <c r="H150" s="2" t="str">
        <f>LEFT(Мособлдума_одномандатный_6[[#This Row],[tik]],4)&amp;"."&amp;IF(ISNUMBER(VALUE(RIGHT(Мособлдума_одномандатный_6[[#This Row],[tik]]))),RIGHT(Мособлдума_одномандатный_6[[#This Row],[tik]]),"")</f>
        <v>Один.2</v>
      </c>
      <c r="I150">
        <v>2296</v>
      </c>
      <c r="J150" s="8">
        <f>Мособлдума_одномандатный_6[[#This Row],[Число избирателей, внесенных в список на момент окончания голосования]]</f>
        <v>2296</v>
      </c>
      <c r="K150">
        <v>1800</v>
      </c>
      <c r="M150">
        <v>799</v>
      </c>
      <c r="N150">
        <v>38</v>
      </c>
      <c r="O150" s="3">
        <f t="shared" si="44"/>
        <v>36.454703832752614</v>
      </c>
      <c r="P150" s="3">
        <f t="shared" si="45"/>
        <v>1.6550522648083623</v>
      </c>
      <c r="Q150">
        <v>963</v>
      </c>
      <c r="R150">
        <v>38</v>
      </c>
      <c r="S150">
        <v>794</v>
      </c>
      <c r="T150" s="1">
        <f t="shared" si="46"/>
        <v>832</v>
      </c>
      <c r="U150" s="3">
        <f t="shared" si="47"/>
        <v>4.5673076923076925</v>
      </c>
      <c r="V150">
        <v>37</v>
      </c>
      <c r="W150" s="3">
        <f t="shared" si="48"/>
        <v>4.447115384615385</v>
      </c>
      <c r="X150">
        <v>795</v>
      </c>
      <c r="Y150">
        <v>0</v>
      </c>
      <c r="Z150">
        <v>0</v>
      </c>
      <c r="AA150">
        <v>194</v>
      </c>
      <c r="AB150" s="3">
        <f t="shared" si="49"/>
        <v>23.317307692307693</v>
      </c>
      <c r="AC150">
        <v>32</v>
      </c>
      <c r="AD150" s="3">
        <f t="shared" si="50"/>
        <v>3.8461538461538463</v>
      </c>
      <c r="AE150">
        <v>23</v>
      </c>
      <c r="AF150" s="3">
        <f t="shared" si="51"/>
        <v>2.7644230769230771</v>
      </c>
      <c r="AG150">
        <v>29</v>
      </c>
      <c r="AH150" s="3">
        <f t="shared" si="52"/>
        <v>3.4855769230769229</v>
      </c>
      <c r="AI150">
        <v>293</v>
      </c>
      <c r="AJ150" s="3">
        <f t="shared" si="53"/>
        <v>35.216346153846153</v>
      </c>
      <c r="AK150">
        <v>52</v>
      </c>
      <c r="AL150" s="3">
        <f t="shared" si="42"/>
        <v>6.25</v>
      </c>
      <c r="AM150">
        <v>172</v>
      </c>
      <c r="AN150" s="3">
        <f t="shared" si="54"/>
        <v>20.673076923076923</v>
      </c>
      <c r="AO150" t="s">
        <v>370</v>
      </c>
      <c r="AP150" s="72">
        <f>Дума_партии[[#This Row],[КОИБ]]</f>
        <v>2017</v>
      </c>
      <c r="AQ150" s="1">
        <f>IF(Дума_партии[[#This Row],[Наблюдателей]]=0,"",Дума_партии[[#This Row],[Наблюдателей]])</f>
        <v>1</v>
      </c>
      <c r="AR150"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27.415902140672699</v>
      </c>
      <c r="AS150" s="10">
        <f>2*(Мособлдума_одномандатный_6[[#This Row],[Лазутина Лариса Евгеньевна]]-(AC$203/100)*Мособлдума_одномандатный_6[[#This Row],[Число действительных бюллетеней]])</f>
        <v>35.8599999999999</v>
      </c>
      <c r="AT150" s="10">
        <f>(Мособлдума_одномандатный_6[[#This Row],[Вброс]]+Мособлдума_одномандатный_6[[#This Row],[Перекладывание]])/2</f>
        <v>31.6379510703363</v>
      </c>
    </row>
    <row r="151" spans="2:46" x14ac:dyDescent="0.4">
      <c r="B151" t="s">
        <v>74</v>
      </c>
      <c r="C151" t="s">
        <v>366</v>
      </c>
      <c r="D151" t="s">
        <v>227</v>
      </c>
      <c r="E151" t="s">
        <v>279</v>
      </c>
      <c r="F151" s="1">
        <f t="shared" ca="1" si="43"/>
        <v>2025</v>
      </c>
      <c r="G151" s="8" t="str">
        <f>Дума_партии[[#This Row],[Местоположение]]</f>
        <v>Одинцово</v>
      </c>
      <c r="H151" s="2" t="str">
        <f>LEFT(Мособлдума_одномандатный_6[[#This Row],[tik]],4)&amp;"."&amp;IF(ISNUMBER(VALUE(RIGHT(Мособлдума_одномандатный_6[[#This Row],[tik]]))),RIGHT(Мособлдума_одномандатный_6[[#This Row],[tik]]),"")</f>
        <v>Один.2</v>
      </c>
      <c r="I151">
        <v>2186</v>
      </c>
      <c r="J151" s="8">
        <f>Мособлдума_одномандатный_6[[#This Row],[Число избирателей, внесенных в список на момент окончания голосования]]</f>
        <v>2186</v>
      </c>
      <c r="K151">
        <v>1800</v>
      </c>
      <c r="M151">
        <v>728</v>
      </c>
      <c r="N151">
        <v>117</v>
      </c>
      <c r="O151" s="3">
        <f t="shared" si="44"/>
        <v>38.655077767612077</v>
      </c>
      <c r="P151" s="3">
        <f t="shared" si="45"/>
        <v>5.3522415370539802</v>
      </c>
      <c r="Q151">
        <v>955</v>
      </c>
      <c r="R151">
        <v>117</v>
      </c>
      <c r="S151">
        <v>720</v>
      </c>
      <c r="T151" s="1">
        <f t="shared" si="46"/>
        <v>837</v>
      </c>
      <c r="U151" s="3">
        <f t="shared" si="47"/>
        <v>13.978494623655914</v>
      </c>
      <c r="V151">
        <v>39</v>
      </c>
      <c r="W151" s="3">
        <f t="shared" si="48"/>
        <v>4.6594982078853047</v>
      </c>
      <c r="X151">
        <v>798</v>
      </c>
      <c r="Y151">
        <v>0</v>
      </c>
      <c r="Z151">
        <v>0</v>
      </c>
      <c r="AA151">
        <v>198</v>
      </c>
      <c r="AB151" s="3">
        <f t="shared" si="49"/>
        <v>23.655913978494624</v>
      </c>
      <c r="AC151">
        <v>34</v>
      </c>
      <c r="AD151" s="3">
        <f t="shared" si="50"/>
        <v>4.0621266427718039</v>
      </c>
      <c r="AE151">
        <v>18</v>
      </c>
      <c r="AF151" s="3">
        <f t="shared" si="51"/>
        <v>2.150537634408602</v>
      </c>
      <c r="AG151">
        <v>25</v>
      </c>
      <c r="AH151" s="3">
        <f t="shared" si="52"/>
        <v>2.9868578255675029</v>
      </c>
      <c r="AI151">
        <v>312</v>
      </c>
      <c r="AJ151" s="3">
        <f t="shared" si="53"/>
        <v>37.275985663082437</v>
      </c>
      <c r="AK151">
        <v>47</v>
      </c>
      <c r="AL151" s="3">
        <f t="shared" si="42"/>
        <v>5.6152927120669061</v>
      </c>
      <c r="AM151">
        <v>164</v>
      </c>
      <c r="AN151" s="3">
        <f t="shared" si="54"/>
        <v>19.593787335722819</v>
      </c>
      <c r="AO151" t="s">
        <v>370</v>
      </c>
      <c r="AP151" s="72">
        <f>Дума_партии[[#This Row],[КОИБ]]</f>
        <v>2017</v>
      </c>
      <c r="AQ151" s="1" t="str">
        <f>IF(Дума_партии[[#This Row],[Наблюдателей]]=0,"",Дума_партии[[#This Row],[Наблюдателей]])</f>
        <v/>
      </c>
      <c r="AR151"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54.880733944954045</v>
      </c>
      <c r="AS151" s="10">
        <f>2*(Мособлдума_одномандатный_6[[#This Row],[Лазутина Лариса Евгеньевна]]-(AC$203/100)*Мособлдума_одномандатный_6[[#This Row],[Число действительных бюллетеней]])</f>
        <v>71.783999999999992</v>
      </c>
      <c r="AT151" s="10">
        <f>(Мособлдума_одномандатный_6[[#This Row],[Вброс]]+Мособлдума_одномандатный_6[[#This Row],[Перекладывание]])/2</f>
        <v>63.332366972477018</v>
      </c>
    </row>
    <row r="152" spans="2:46" x14ac:dyDescent="0.4">
      <c r="B152" t="s">
        <v>74</v>
      </c>
      <c r="C152" t="s">
        <v>366</v>
      </c>
      <c r="D152" t="s">
        <v>227</v>
      </c>
      <c r="E152" t="s">
        <v>280</v>
      </c>
      <c r="F152" s="1">
        <f t="shared" ca="1" si="43"/>
        <v>2026</v>
      </c>
      <c r="G152" s="8" t="str">
        <f>Дума_партии[[#This Row],[Местоположение]]</f>
        <v>Одинцово</v>
      </c>
      <c r="H152" s="2" t="str">
        <f>LEFT(Мособлдума_одномандатный_6[[#This Row],[tik]],4)&amp;"."&amp;IF(ISNUMBER(VALUE(RIGHT(Мособлдума_одномандатный_6[[#This Row],[tik]]))),RIGHT(Мособлдума_одномандатный_6[[#This Row],[tik]]),"")</f>
        <v>Один.2</v>
      </c>
      <c r="I152">
        <v>2642</v>
      </c>
      <c r="J152" s="8">
        <f>Мособлдума_одномандатный_6[[#This Row],[Число избирателей, внесенных в список на момент окончания голосования]]</f>
        <v>2642</v>
      </c>
      <c r="K152">
        <v>2000</v>
      </c>
      <c r="M152">
        <v>674</v>
      </c>
      <c r="N152">
        <v>22</v>
      </c>
      <c r="O152" s="3">
        <f t="shared" si="44"/>
        <v>26.343679031037095</v>
      </c>
      <c r="P152" s="3">
        <f t="shared" si="45"/>
        <v>0.8327024981074943</v>
      </c>
      <c r="Q152">
        <v>1304</v>
      </c>
      <c r="R152">
        <v>22</v>
      </c>
      <c r="S152">
        <v>674</v>
      </c>
      <c r="T152" s="1">
        <f t="shared" si="46"/>
        <v>696</v>
      </c>
      <c r="U152" s="3">
        <f t="shared" si="47"/>
        <v>3.1609195402298851</v>
      </c>
      <c r="V152">
        <v>20</v>
      </c>
      <c r="W152" s="3">
        <f t="shared" si="48"/>
        <v>2.8735632183908044</v>
      </c>
      <c r="X152">
        <v>676</v>
      </c>
      <c r="Y152">
        <v>0</v>
      </c>
      <c r="Z152">
        <v>0</v>
      </c>
      <c r="AA152">
        <v>168</v>
      </c>
      <c r="AB152" s="3">
        <f t="shared" si="49"/>
        <v>24.137931034482758</v>
      </c>
      <c r="AC152">
        <v>33</v>
      </c>
      <c r="AD152" s="3">
        <f t="shared" si="50"/>
        <v>4.7413793103448274</v>
      </c>
      <c r="AE152">
        <v>15</v>
      </c>
      <c r="AF152" s="3">
        <f t="shared" si="51"/>
        <v>2.1551724137931036</v>
      </c>
      <c r="AG152">
        <v>25</v>
      </c>
      <c r="AH152" s="3">
        <f t="shared" si="52"/>
        <v>3.5919540229885056</v>
      </c>
      <c r="AI152">
        <v>249</v>
      </c>
      <c r="AJ152" s="3">
        <f t="shared" si="53"/>
        <v>35.775862068965516</v>
      </c>
      <c r="AK152">
        <v>45</v>
      </c>
      <c r="AL152" s="3">
        <f t="shared" si="42"/>
        <v>6.4655172413793105</v>
      </c>
      <c r="AM152">
        <v>141</v>
      </c>
      <c r="AN152" s="3">
        <f t="shared" si="54"/>
        <v>20.258620689655171</v>
      </c>
      <c r="AO152" t="s">
        <v>370</v>
      </c>
      <c r="AP152" s="72">
        <f>Дума_партии[[#This Row],[КОИБ]]</f>
        <v>2017</v>
      </c>
      <c r="AQ152" s="1">
        <f>IF(Дума_партии[[#This Row],[Наблюдателей]]=0,"",Дума_партии[[#This Row],[Наблюдателей]])</f>
        <v>1</v>
      </c>
      <c r="AR152"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23.094801223241546</v>
      </c>
      <c r="AS152" s="10">
        <f>2*(Мособлдума_одномандатный_6[[#This Row],[Лазутина Лариса Евгеньевна]]-(AC$203/100)*Мособлдума_одномандатный_6[[#This Row],[Число действительных бюллетеней]])</f>
        <v>30.20799999999997</v>
      </c>
      <c r="AT152" s="10">
        <f>(Мособлдума_одномандатный_6[[#This Row],[Вброс]]+Мособлдума_одномандатный_6[[#This Row],[Перекладывание]])/2</f>
        <v>26.651400611620758</v>
      </c>
    </row>
    <row r="153" spans="2:46" x14ac:dyDescent="0.4">
      <c r="B153" t="s">
        <v>74</v>
      </c>
      <c r="C153" t="s">
        <v>366</v>
      </c>
      <c r="D153" t="s">
        <v>227</v>
      </c>
      <c r="E153" t="s">
        <v>281</v>
      </c>
      <c r="F153" s="1">
        <f t="shared" ca="1" si="43"/>
        <v>2027</v>
      </c>
      <c r="G153" s="8" t="str">
        <f>Дума_партии[[#This Row],[Местоположение]]</f>
        <v>Одинцово</v>
      </c>
      <c r="H153" s="2" t="str">
        <f>LEFT(Мособлдума_одномандатный_6[[#This Row],[tik]],4)&amp;"."&amp;IF(ISNUMBER(VALUE(RIGHT(Мособлдума_одномандатный_6[[#This Row],[tik]]))),RIGHT(Мособлдума_одномандатный_6[[#This Row],[tik]]),"")</f>
        <v>Один.2</v>
      </c>
      <c r="I153">
        <v>1775</v>
      </c>
      <c r="J153" s="8">
        <f>Мособлдума_одномандатный_6[[#This Row],[Число избирателей, внесенных в список на момент окончания голосования]]</f>
        <v>1775</v>
      </c>
      <c r="K153">
        <v>1500</v>
      </c>
      <c r="M153">
        <v>496</v>
      </c>
      <c r="N153">
        <v>0</v>
      </c>
      <c r="O153" s="3">
        <f t="shared" si="44"/>
        <v>27.943661971830984</v>
      </c>
      <c r="P153" s="3">
        <f t="shared" si="45"/>
        <v>0</v>
      </c>
      <c r="Q153">
        <v>1001</v>
      </c>
      <c r="R153">
        <v>0</v>
      </c>
      <c r="S153">
        <v>496</v>
      </c>
      <c r="T153" s="1">
        <f t="shared" si="46"/>
        <v>496</v>
      </c>
      <c r="U153" s="3">
        <f t="shared" si="47"/>
        <v>0</v>
      </c>
      <c r="V153">
        <v>18</v>
      </c>
      <c r="W153" s="3">
        <f t="shared" si="48"/>
        <v>3.629032258064516</v>
      </c>
      <c r="X153">
        <v>478</v>
      </c>
      <c r="Y153">
        <v>3</v>
      </c>
      <c r="Z153">
        <v>0</v>
      </c>
      <c r="AA153">
        <v>159</v>
      </c>
      <c r="AB153" s="3">
        <f t="shared" si="49"/>
        <v>32.056451612903224</v>
      </c>
      <c r="AC153">
        <v>18</v>
      </c>
      <c r="AD153" s="3">
        <f t="shared" si="50"/>
        <v>3.629032258064516</v>
      </c>
      <c r="AE153">
        <v>18</v>
      </c>
      <c r="AF153" s="3">
        <f t="shared" si="51"/>
        <v>3.629032258064516</v>
      </c>
      <c r="AG153">
        <v>19</v>
      </c>
      <c r="AH153" s="3">
        <f t="shared" si="52"/>
        <v>3.8306451612903225</v>
      </c>
      <c r="AI153">
        <v>130</v>
      </c>
      <c r="AJ153" s="3">
        <f t="shared" si="53"/>
        <v>26.20967741935484</v>
      </c>
      <c r="AK153">
        <v>33</v>
      </c>
      <c r="AL153" s="3">
        <f t="shared" si="42"/>
        <v>6.653225806451613</v>
      </c>
      <c r="AM153">
        <v>101</v>
      </c>
      <c r="AN153" s="3">
        <f t="shared" si="54"/>
        <v>20.362903225806452</v>
      </c>
      <c r="AO153" t="s">
        <v>370</v>
      </c>
      <c r="AP153" s="72">
        <f>Дума_партии[[#This Row],[КОИБ]]</f>
        <v>2017</v>
      </c>
      <c r="AQ153" s="1">
        <f>IF(Дума_партии[[#This Row],[Наблюдателей]]=0,"",Дума_партии[[#This Row],[Наблюдателей]])</f>
        <v>1</v>
      </c>
      <c r="AR153"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-54.110091743119312</v>
      </c>
      <c r="AS153" s="10">
        <f>2*(Мособлдума_одномандатный_6[[#This Row],[Лазутина Лариса Евгеньевна]]-(AC$203/100)*Мособлдума_одномандатный_6[[#This Row],[Число действительных бюллетеней]])</f>
        <v>-70.77600000000001</v>
      </c>
      <c r="AT153" s="10">
        <f>(Мособлдума_одномандатный_6[[#This Row],[Вброс]]+Мособлдума_одномандатный_6[[#This Row],[Перекладывание]])/2</f>
        <v>-62.443045871559661</v>
      </c>
    </row>
    <row r="154" spans="2:46" x14ac:dyDescent="0.4">
      <c r="B154" t="s">
        <v>74</v>
      </c>
      <c r="C154" t="s">
        <v>366</v>
      </c>
      <c r="D154" t="s">
        <v>227</v>
      </c>
      <c r="E154" t="s">
        <v>282</v>
      </c>
      <c r="F154" s="1">
        <f t="shared" ca="1" si="43"/>
        <v>2028</v>
      </c>
      <c r="G154" s="8" t="str">
        <f>Дума_партии[[#This Row],[Местоположение]]</f>
        <v>Одинцово</v>
      </c>
      <c r="H154" s="2" t="str">
        <f>LEFT(Мособлдума_одномандатный_6[[#This Row],[tik]],4)&amp;"."&amp;IF(ISNUMBER(VALUE(RIGHT(Мособлдума_одномандатный_6[[#This Row],[tik]]))),RIGHT(Мособлдума_одномандатный_6[[#This Row],[tik]]),"")</f>
        <v>Один.2</v>
      </c>
      <c r="I154">
        <v>1894</v>
      </c>
      <c r="J154" s="8">
        <f>Мособлдума_одномандатный_6[[#This Row],[Число избирателей, внесенных в список на момент окончания голосования]]</f>
        <v>1894</v>
      </c>
      <c r="K154">
        <v>1500</v>
      </c>
      <c r="M154">
        <v>577</v>
      </c>
      <c r="N154">
        <v>1</v>
      </c>
      <c r="O154" s="3">
        <f t="shared" si="44"/>
        <v>30.517423442449843</v>
      </c>
      <c r="P154" s="3">
        <f t="shared" si="45"/>
        <v>5.2798310454065467E-2</v>
      </c>
      <c r="Q154">
        <v>922</v>
      </c>
      <c r="R154">
        <v>1</v>
      </c>
      <c r="S154">
        <v>577</v>
      </c>
      <c r="T154" s="1">
        <f t="shared" si="46"/>
        <v>578</v>
      </c>
      <c r="U154" s="3">
        <f t="shared" si="47"/>
        <v>0.17301038062283736</v>
      </c>
      <c r="V154">
        <v>22</v>
      </c>
      <c r="W154" s="3">
        <f t="shared" si="48"/>
        <v>3.8062283737024223</v>
      </c>
      <c r="X154">
        <v>556</v>
      </c>
      <c r="Y154">
        <v>0</v>
      </c>
      <c r="Z154">
        <v>0</v>
      </c>
      <c r="AA154">
        <v>143</v>
      </c>
      <c r="AB154" s="3">
        <f t="shared" si="49"/>
        <v>24.740484429065745</v>
      </c>
      <c r="AC154">
        <v>29</v>
      </c>
      <c r="AD154" s="3">
        <f t="shared" si="50"/>
        <v>5.0173010380622838</v>
      </c>
      <c r="AE154">
        <v>22</v>
      </c>
      <c r="AF154" s="3">
        <f t="shared" si="51"/>
        <v>3.8062283737024223</v>
      </c>
      <c r="AG154">
        <v>34</v>
      </c>
      <c r="AH154" s="3">
        <f t="shared" si="52"/>
        <v>5.882352941176471</v>
      </c>
      <c r="AI154">
        <v>160</v>
      </c>
      <c r="AJ154" s="3">
        <f t="shared" si="53"/>
        <v>27.681660899653981</v>
      </c>
      <c r="AK154">
        <v>39</v>
      </c>
      <c r="AL154" s="3">
        <f t="shared" si="42"/>
        <v>6.7474048442906573</v>
      </c>
      <c r="AM154">
        <v>129</v>
      </c>
      <c r="AN154" s="3">
        <f t="shared" si="54"/>
        <v>22.318339100346019</v>
      </c>
      <c r="AO154" t="s">
        <v>370</v>
      </c>
      <c r="AP154" s="72">
        <f>Дума_партии[[#This Row],[КОИБ]]</f>
        <v>2017</v>
      </c>
      <c r="AQ154" s="1" t="str">
        <f>IF(Дума_партии[[#This Row],[Наблюдателей]]=0,"",Дума_партии[[#This Row],[Наблюдателей]])</f>
        <v/>
      </c>
      <c r="AR154"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-49.50458715596335</v>
      </c>
      <c r="AS154" s="10">
        <f>2*(Мособлдума_одномандатный_6[[#This Row],[Лазутина Лариса Евгеньевна]]-(AC$203/100)*Мособлдума_одномандатный_6[[#This Row],[Число действительных бюллетеней]])</f>
        <v>-64.75200000000001</v>
      </c>
      <c r="AT154" s="10">
        <f>(Мособлдума_одномандатный_6[[#This Row],[Вброс]]+Мособлдума_одномандатный_6[[#This Row],[Перекладывание]])/2</f>
        <v>-57.12829357798168</v>
      </c>
    </row>
    <row r="155" spans="2:46" x14ac:dyDescent="0.4">
      <c r="B155" t="s">
        <v>74</v>
      </c>
      <c r="C155" t="s">
        <v>366</v>
      </c>
      <c r="D155" t="s">
        <v>227</v>
      </c>
      <c r="E155" t="s">
        <v>283</v>
      </c>
      <c r="F155" s="1">
        <f t="shared" ca="1" si="43"/>
        <v>2029</v>
      </c>
      <c r="G155" s="8" t="str">
        <f>Дума_партии[[#This Row],[Местоположение]]</f>
        <v>Одинцово</v>
      </c>
      <c r="H155" s="2" t="str">
        <f>LEFT(Мособлдума_одномандатный_6[[#This Row],[tik]],4)&amp;"."&amp;IF(ISNUMBER(VALUE(RIGHT(Мособлдума_одномандатный_6[[#This Row],[tik]]))),RIGHT(Мособлдума_одномандатный_6[[#This Row],[tik]]),"")</f>
        <v>Один.2</v>
      </c>
      <c r="I155">
        <v>2070</v>
      </c>
      <c r="J155" s="8">
        <f>Мособлдума_одномандатный_6[[#This Row],[Число избирателей, внесенных в список на момент окончания голосования]]</f>
        <v>2070</v>
      </c>
      <c r="K155">
        <v>1800</v>
      </c>
      <c r="M155">
        <v>496</v>
      </c>
      <c r="N155">
        <v>6</v>
      </c>
      <c r="O155" s="3">
        <f t="shared" si="44"/>
        <v>24.2512077294686</v>
      </c>
      <c r="P155" s="3">
        <f t="shared" si="45"/>
        <v>0.28985507246376813</v>
      </c>
      <c r="Q155">
        <v>1298</v>
      </c>
      <c r="R155">
        <v>6</v>
      </c>
      <c r="S155">
        <v>490</v>
      </c>
      <c r="T155" s="1">
        <f t="shared" si="46"/>
        <v>496</v>
      </c>
      <c r="U155" s="3">
        <f t="shared" si="47"/>
        <v>1.2096774193548387</v>
      </c>
      <c r="V155">
        <v>25</v>
      </c>
      <c r="W155" s="3">
        <f t="shared" si="48"/>
        <v>5.040322580645161</v>
      </c>
      <c r="X155">
        <v>471</v>
      </c>
      <c r="Y155">
        <v>0</v>
      </c>
      <c r="Z155">
        <v>0</v>
      </c>
      <c r="AA155">
        <v>134</v>
      </c>
      <c r="AB155" s="3">
        <f t="shared" si="49"/>
        <v>27.016129032258064</v>
      </c>
      <c r="AC155">
        <v>18</v>
      </c>
      <c r="AD155" s="3">
        <f t="shared" si="50"/>
        <v>3.629032258064516</v>
      </c>
      <c r="AE155">
        <v>19</v>
      </c>
      <c r="AF155" s="3">
        <f t="shared" si="51"/>
        <v>3.8306451612903225</v>
      </c>
      <c r="AG155">
        <v>22</v>
      </c>
      <c r="AH155" s="3">
        <f t="shared" si="52"/>
        <v>4.435483870967742</v>
      </c>
      <c r="AI155">
        <v>145</v>
      </c>
      <c r="AJ155" s="3">
        <f t="shared" si="53"/>
        <v>29.233870967741936</v>
      </c>
      <c r="AK155">
        <v>33</v>
      </c>
      <c r="AL155" s="3">
        <f t="shared" si="42"/>
        <v>6.653225806451613</v>
      </c>
      <c r="AM155">
        <v>100</v>
      </c>
      <c r="AN155" s="3">
        <f t="shared" si="54"/>
        <v>20.161290322580644</v>
      </c>
      <c r="AO155" t="s">
        <v>370</v>
      </c>
      <c r="AP155" s="72" t="str">
        <f>Дума_партии[[#This Row],[КОИБ]]</f>
        <v>N</v>
      </c>
      <c r="AQ155" s="1" t="str">
        <f>IF(Дума_партии[[#This Row],[Наблюдателей]]=0,"",Дума_партии[[#This Row],[Наблюдателей]])</f>
        <v/>
      </c>
      <c r="AR155"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-27.470948012232469</v>
      </c>
      <c r="AS155" s="10">
        <f>2*(Мособлдума_одномандатный_6[[#This Row],[Лазутина Лариса Евгеньевна]]-(AC$203/100)*Мособлдума_одномандатный_6[[#This Row],[Число действительных бюллетеней]])</f>
        <v>-35.932000000000016</v>
      </c>
      <c r="AT155" s="10">
        <f>(Мособлдума_одномандатный_6[[#This Row],[Вброс]]+Мособлдума_одномандатный_6[[#This Row],[Перекладывание]])/2</f>
        <v>-31.701474006116243</v>
      </c>
    </row>
    <row r="156" spans="2:46" x14ac:dyDescent="0.4">
      <c r="B156" t="s">
        <v>74</v>
      </c>
      <c r="C156" t="s">
        <v>366</v>
      </c>
      <c r="D156" t="s">
        <v>227</v>
      </c>
      <c r="E156" t="s">
        <v>284</v>
      </c>
      <c r="F156" s="1">
        <f t="shared" ca="1" si="43"/>
        <v>2030</v>
      </c>
      <c r="G156" s="8" t="str">
        <f>Дума_партии[[#This Row],[Местоположение]]</f>
        <v>Одинцово</v>
      </c>
      <c r="H156" s="2" t="str">
        <f>LEFT(Мособлдума_одномандатный_6[[#This Row],[tik]],4)&amp;"."&amp;IF(ISNUMBER(VALUE(RIGHT(Мособлдума_одномандатный_6[[#This Row],[tik]]))),RIGHT(Мособлдума_одномандатный_6[[#This Row],[tik]]),"")</f>
        <v>Один.2</v>
      </c>
      <c r="I156">
        <v>2196</v>
      </c>
      <c r="J156" s="8">
        <f>Мособлдума_одномандатный_6[[#This Row],[Число избирателей, внесенных в список на момент окончания голосования]]</f>
        <v>2196</v>
      </c>
      <c r="K156">
        <v>1800</v>
      </c>
      <c r="M156">
        <v>563</v>
      </c>
      <c r="N156">
        <v>3</v>
      </c>
      <c r="O156" s="3">
        <f t="shared" si="44"/>
        <v>25.774134790528233</v>
      </c>
      <c r="P156" s="3">
        <f t="shared" si="45"/>
        <v>0.13661202185792351</v>
      </c>
      <c r="Q156">
        <v>1234</v>
      </c>
      <c r="R156">
        <v>3</v>
      </c>
      <c r="S156">
        <v>563</v>
      </c>
      <c r="T156" s="1">
        <f t="shared" si="46"/>
        <v>566</v>
      </c>
      <c r="U156" s="3">
        <f t="shared" si="47"/>
        <v>0.53003533568904593</v>
      </c>
      <c r="V156">
        <v>26</v>
      </c>
      <c r="W156" s="3">
        <f t="shared" si="48"/>
        <v>4.5936395759717312</v>
      </c>
      <c r="X156">
        <v>540</v>
      </c>
      <c r="Y156">
        <v>0</v>
      </c>
      <c r="Z156">
        <v>0</v>
      </c>
      <c r="AA156">
        <v>187</v>
      </c>
      <c r="AB156" s="3">
        <f t="shared" si="49"/>
        <v>33.03886925795053</v>
      </c>
      <c r="AC156">
        <v>22</v>
      </c>
      <c r="AD156" s="3">
        <f t="shared" si="50"/>
        <v>3.8869257950530036</v>
      </c>
      <c r="AE156">
        <v>20</v>
      </c>
      <c r="AF156" s="3">
        <f t="shared" si="51"/>
        <v>3.5335689045936394</v>
      </c>
      <c r="AG156">
        <v>22</v>
      </c>
      <c r="AH156" s="3">
        <f t="shared" si="52"/>
        <v>3.8869257950530036</v>
      </c>
      <c r="AI156">
        <v>143</v>
      </c>
      <c r="AJ156" s="3">
        <f t="shared" si="53"/>
        <v>25.265017667844521</v>
      </c>
      <c r="AK156">
        <v>40</v>
      </c>
      <c r="AL156" s="3">
        <f t="shared" ref="AL156:AL183" si="55">100*AK156/$T156</f>
        <v>7.0671378091872787</v>
      </c>
      <c r="AM156">
        <v>106</v>
      </c>
      <c r="AN156" s="3">
        <f t="shared" si="54"/>
        <v>18.727915194346291</v>
      </c>
      <c r="AO156" t="s">
        <v>370</v>
      </c>
      <c r="AP156" s="72">
        <f>Дума_партии[[#This Row],[КОИБ]]</f>
        <v>2017</v>
      </c>
      <c r="AQ156" s="1" t="str">
        <f>IF(Дума_партии[[#This Row],[Наблюдателей]]=0,"",Дума_партии[[#This Row],[Наблюдателей]])</f>
        <v/>
      </c>
      <c r="AR156"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-67.033639143730937</v>
      </c>
      <c r="AS156" s="10">
        <f>2*(Мособлдума_одномандатный_6[[#This Row],[Лазутина Лариса Евгеньевна]]-(AC$203/100)*Мособлдума_одномандатный_6[[#This Row],[Число действительных бюллетеней]])</f>
        <v>-87.68</v>
      </c>
      <c r="AT156" s="10">
        <f>(Мособлдума_одномандатный_6[[#This Row],[Вброс]]+Мособлдума_одномандатный_6[[#This Row],[Перекладывание]])/2</f>
        <v>-77.356819571865472</v>
      </c>
    </row>
    <row r="157" spans="2:46" x14ac:dyDescent="0.4">
      <c r="B157" t="s">
        <v>74</v>
      </c>
      <c r="C157" t="s">
        <v>366</v>
      </c>
      <c r="D157" t="s">
        <v>227</v>
      </c>
      <c r="E157" t="s">
        <v>285</v>
      </c>
      <c r="F157" s="1">
        <f t="shared" ref="F157:F183" ca="1" si="56">SUMPRODUCT(MID(0&amp;E157, LARGE(INDEX(ISNUMBER(--MID(E157, ROW(INDIRECT("1:"&amp;LEN(E157))), 1)) * ROW(INDIRECT("1:"&amp;LEN(E157))), 0), ROW(INDIRECT("1:"&amp;LEN(E157))))+1, 1) * 10^ROW(INDIRECT("1:"&amp;LEN(E157)))/10)</f>
        <v>2031</v>
      </c>
      <c r="G157" s="8" t="str">
        <f>Дума_партии[[#This Row],[Местоположение]]</f>
        <v>Одинцово</v>
      </c>
      <c r="H157" s="2" t="str">
        <f>LEFT(Мособлдума_одномандатный_6[[#This Row],[tik]],4)&amp;"."&amp;IF(ISNUMBER(VALUE(RIGHT(Мособлдума_одномандатный_6[[#This Row],[tik]]))),RIGHT(Мособлдума_одномандатный_6[[#This Row],[tik]]),"")</f>
        <v>Один.2</v>
      </c>
      <c r="I157">
        <v>2551</v>
      </c>
      <c r="J157" s="8">
        <f>Мособлдума_одномандатный_6[[#This Row],[Число избирателей, внесенных в список на момент окончания голосования]]</f>
        <v>2551</v>
      </c>
      <c r="K157">
        <v>2000</v>
      </c>
      <c r="M157">
        <v>549</v>
      </c>
      <c r="N157">
        <v>4</v>
      </c>
      <c r="O157" s="3">
        <f t="shared" ref="O157:O183" si="57">100*(M157+N157)/I157</f>
        <v>21.677773422187379</v>
      </c>
      <c r="P157" s="3">
        <f t="shared" ref="P157:P183" si="58">100*N157/I157</f>
        <v>0.15680125441003528</v>
      </c>
      <c r="Q157">
        <v>1447</v>
      </c>
      <c r="R157">
        <v>4</v>
      </c>
      <c r="S157">
        <v>549</v>
      </c>
      <c r="T157" s="1">
        <f t="shared" ref="T157:T183" si="59">R157+S157</f>
        <v>553</v>
      </c>
      <c r="U157" s="3">
        <f t="shared" ref="U157:U183" si="60">100*R157/T157</f>
        <v>0.72332730560578662</v>
      </c>
      <c r="V157">
        <v>22</v>
      </c>
      <c r="W157" s="3">
        <f t="shared" ref="W157:W183" si="61">100*V157/T157</f>
        <v>3.9783001808318263</v>
      </c>
      <c r="X157">
        <v>531</v>
      </c>
      <c r="Y157">
        <v>0</v>
      </c>
      <c r="Z157">
        <v>0</v>
      </c>
      <c r="AA157">
        <v>167</v>
      </c>
      <c r="AB157" s="3">
        <f t="shared" ref="AB157:AB183" si="62">100*AA157/$T157</f>
        <v>30.198915009041592</v>
      </c>
      <c r="AC157">
        <v>16</v>
      </c>
      <c r="AD157" s="3">
        <f t="shared" ref="AD157:AD183" si="63">100*AC157/$T157</f>
        <v>2.8933092224231465</v>
      </c>
      <c r="AE157">
        <v>22</v>
      </c>
      <c r="AF157" s="3">
        <f t="shared" ref="AF157:AF183" si="64">100*AE157/$T157</f>
        <v>3.9783001808318263</v>
      </c>
      <c r="AG157">
        <v>18</v>
      </c>
      <c r="AH157" s="3">
        <f t="shared" ref="AH157:AH183" si="65">100*AG157/$T157</f>
        <v>3.2549728752260396</v>
      </c>
      <c r="AI157">
        <v>155</v>
      </c>
      <c r="AJ157" s="3">
        <f t="shared" ref="AJ157:AJ183" si="66">100*AI157/$T157</f>
        <v>28.028933092224232</v>
      </c>
      <c r="AK157">
        <v>44</v>
      </c>
      <c r="AL157" s="3">
        <f t="shared" si="55"/>
        <v>7.9566003616636527</v>
      </c>
      <c r="AM157">
        <v>109</v>
      </c>
      <c r="AN157" s="3">
        <f t="shared" ref="AN157:AN183" si="67">100*AM157/$T157</f>
        <v>19.710669077757686</v>
      </c>
      <c r="AO157" t="s">
        <v>370</v>
      </c>
      <c r="AP157" s="72">
        <f>Дума_партии[[#This Row],[КОИБ]]</f>
        <v>2017</v>
      </c>
      <c r="AQ157" s="1">
        <f>IF(Дума_партии[[#This Row],[Наблюдателей]]=0,"",Дума_партии[[#This Row],[Наблюдателей]])</f>
        <v>1</v>
      </c>
      <c r="AR157"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-43.923547400611653</v>
      </c>
      <c r="AS157" s="10">
        <f>2*(Мособлдума_одномандатный_6[[#This Row],[Лазутина Лариса Евгеньевна]]-(AC$203/100)*Мособлдума_одномандатный_6[[#This Row],[Число действительных бюллетеней]])</f>
        <v>-57.452000000000055</v>
      </c>
      <c r="AT157" s="10">
        <f>(Мособлдума_одномандатный_6[[#This Row],[Вброс]]+Мособлдума_одномандатный_6[[#This Row],[Перекладывание]])/2</f>
        <v>-50.687773700305854</v>
      </c>
    </row>
    <row r="158" spans="2:46" x14ac:dyDescent="0.4">
      <c r="B158" t="s">
        <v>74</v>
      </c>
      <c r="C158" t="s">
        <v>366</v>
      </c>
      <c r="D158" t="s">
        <v>227</v>
      </c>
      <c r="E158" t="s">
        <v>286</v>
      </c>
      <c r="F158" s="1">
        <f t="shared" ca="1" si="56"/>
        <v>2032</v>
      </c>
      <c r="G158" s="8" t="str">
        <f>Дума_партии[[#This Row],[Местоположение]]</f>
        <v>Одинцово</v>
      </c>
      <c r="H158" s="2" t="str">
        <f>LEFT(Мособлдума_одномандатный_6[[#This Row],[tik]],4)&amp;"."&amp;IF(ISNUMBER(VALUE(RIGHT(Мособлдума_одномандатный_6[[#This Row],[tik]]))),RIGHT(Мособлдума_одномандатный_6[[#This Row],[tik]]),"")</f>
        <v>Один.2</v>
      </c>
      <c r="I158">
        <v>2922</v>
      </c>
      <c r="J158" s="8">
        <f>Мособлдума_одномандатный_6[[#This Row],[Число избирателей, внесенных в список на момент окончания голосования]]</f>
        <v>2922</v>
      </c>
      <c r="K158">
        <v>2500</v>
      </c>
      <c r="M158">
        <v>875</v>
      </c>
      <c r="N158">
        <v>11</v>
      </c>
      <c r="O158" s="3">
        <f t="shared" si="57"/>
        <v>30.321697467488022</v>
      </c>
      <c r="P158" s="3">
        <f t="shared" si="58"/>
        <v>0.37645448323066394</v>
      </c>
      <c r="Q158">
        <v>1614</v>
      </c>
      <c r="R158">
        <v>11</v>
      </c>
      <c r="S158">
        <v>875</v>
      </c>
      <c r="T158" s="1">
        <f t="shared" si="59"/>
        <v>886</v>
      </c>
      <c r="U158" s="3">
        <f t="shared" si="60"/>
        <v>1.2415349887133182</v>
      </c>
      <c r="V158">
        <v>357</v>
      </c>
      <c r="W158" s="3">
        <f t="shared" si="61"/>
        <v>40.293453724604966</v>
      </c>
      <c r="X158">
        <v>529</v>
      </c>
      <c r="Y158">
        <v>0</v>
      </c>
      <c r="Z158">
        <v>0</v>
      </c>
      <c r="AA158">
        <v>149</v>
      </c>
      <c r="AB158" s="3">
        <f t="shared" si="62"/>
        <v>16.817155756207676</v>
      </c>
      <c r="AC158">
        <v>30</v>
      </c>
      <c r="AD158" s="3">
        <f t="shared" si="63"/>
        <v>3.386004514672686</v>
      </c>
      <c r="AE158">
        <v>15</v>
      </c>
      <c r="AF158" s="3">
        <f t="shared" si="64"/>
        <v>1.693002257336343</v>
      </c>
      <c r="AG158">
        <v>21</v>
      </c>
      <c r="AH158" s="3">
        <f t="shared" si="65"/>
        <v>2.3702031602708802</v>
      </c>
      <c r="AI158">
        <v>159</v>
      </c>
      <c r="AJ158" s="3">
        <f t="shared" si="66"/>
        <v>17.945823927765236</v>
      </c>
      <c r="AK158">
        <v>37</v>
      </c>
      <c r="AL158" s="3">
        <f t="shared" si="55"/>
        <v>4.1760722347629793</v>
      </c>
      <c r="AM158">
        <v>118</v>
      </c>
      <c r="AN158" s="3">
        <f t="shared" si="67"/>
        <v>13.318284424379232</v>
      </c>
      <c r="AO158" t="s">
        <v>370</v>
      </c>
      <c r="AP158" s="72">
        <f>Дума_партии[[#This Row],[КОИБ]]</f>
        <v>2017</v>
      </c>
      <c r="AQ158" s="1" t="str">
        <f>IF(Дума_партии[[#This Row],[Наблюдателей]]=0,"",Дума_партии[[#This Row],[Наблюдателей]])</f>
        <v/>
      </c>
      <c r="AR158"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-36.749235474006156</v>
      </c>
      <c r="AS158" s="10">
        <f>2*(Мособлдума_одномандатный_6[[#This Row],[Лазутина Лариса Евгеньевна]]-(AC$203/100)*Мособлдума_одномандатный_6[[#This Row],[Число действительных бюллетеней]])</f>
        <v>-48.06800000000004</v>
      </c>
      <c r="AT158" s="10">
        <f>(Мособлдума_одномандатный_6[[#This Row],[Вброс]]+Мособлдума_одномандатный_6[[#This Row],[Перекладывание]])/2</f>
        <v>-42.408617737003098</v>
      </c>
    </row>
    <row r="159" spans="2:46" x14ac:dyDescent="0.4">
      <c r="B159" t="s">
        <v>74</v>
      </c>
      <c r="C159" t="s">
        <v>366</v>
      </c>
      <c r="D159" t="s">
        <v>227</v>
      </c>
      <c r="E159" t="s">
        <v>287</v>
      </c>
      <c r="F159" s="1">
        <f t="shared" ca="1" si="56"/>
        <v>2033</v>
      </c>
      <c r="G159" s="8" t="str">
        <f>Дума_партии[[#This Row],[Местоположение]]</f>
        <v>Вырубово</v>
      </c>
      <c r="H159" s="2" t="str">
        <f>LEFT(Мособлдума_одномандатный_6[[#This Row],[tik]],4)&amp;"."&amp;IF(ISNUMBER(VALUE(RIGHT(Мособлдума_одномандатный_6[[#This Row],[tik]]))),RIGHT(Мособлдума_одномандатный_6[[#This Row],[tik]]),"")</f>
        <v>Один.2</v>
      </c>
      <c r="I159">
        <v>752</v>
      </c>
      <c r="J159" s="8">
        <f>Мособлдума_одномандатный_6[[#This Row],[Число избирателей, внесенных в список на момент окончания голосования]]</f>
        <v>752</v>
      </c>
      <c r="K159">
        <v>700</v>
      </c>
      <c r="M159">
        <v>220</v>
      </c>
      <c r="N159">
        <v>181</v>
      </c>
      <c r="O159" s="3">
        <f t="shared" si="57"/>
        <v>53.324468085106382</v>
      </c>
      <c r="P159" s="3">
        <f t="shared" si="58"/>
        <v>24.069148936170212</v>
      </c>
      <c r="Q159">
        <v>299</v>
      </c>
      <c r="R159">
        <v>180</v>
      </c>
      <c r="S159">
        <v>216</v>
      </c>
      <c r="T159" s="1">
        <f t="shared" si="59"/>
        <v>396</v>
      </c>
      <c r="U159" s="3">
        <f t="shared" si="60"/>
        <v>45.454545454545453</v>
      </c>
      <c r="V159">
        <v>11</v>
      </c>
      <c r="W159" s="3">
        <f t="shared" si="61"/>
        <v>2.7777777777777777</v>
      </c>
      <c r="X159">
        <v>385</v>
      </c>
      <c r="Y159">
        <v>0</v>
      </c>
      <c r="Z159">
        <v>0</v>
      </c>
      <c r="AA159">
        <v>55</v>
      </c>
      <c r="AB159" s="3">
        <f t="shared" si="62"/>
        <v>13.888888888888889</v>
      </c>
      <c r="AC159">
        <v>6</v>
      </c>
      <c r="AD159" s="3">
        <f t="shared" si="63"/>
        <v>1.5151515151515151</v>
      </c>
      <c r="AE159">
        <v>7</v>
      </c>
      <c r="AF159" s="3">
        <f t="shared" si="64"/>
        <v>1.7676767676767677</v>
      </c>
      <c r="AG159">
        <v>15</v>
      </c>
      <c r="AH159" s="3">
        <f t="shared" si="65"/>
        <v>3.7878787878787881</v>
      </c>
      <c r="AI159">
        <v>228</v>
      </c>
      <c r="AJ159" s="3">
        <f t="shared" si="66"/>
        <v>57.575757575757578</v>
      </c>
      <c r="AK159">
        <v>24</v>
      </c>
      <c r="AL159" s="3">
        <f t="shared" si="55"/>
        <v>6.0606060606060606</v>
      </c>
      <c r="AM159">
        <v>50</v>
      </c>
      <c r="AN159" s="3">
        <f t="shared" si="67"/>
        <v>12.626262626262626</v>
      </c>
      <c r="AO159" t="s">
        <v>370</v>
      </c>
      <c r="AP159" s="72">
        <f>Дума_партии[[#This Row],[КОИБ]]</f>
        <v>2017</v>
      </c>
      <c r="AQ159" s="1" t="str">
        <f>IF(Дума_партии[[#This Row],[Наблюдателей]]=0,"",Дума_партии[[#This Row],[Наблюдателей]])</f>
        <v/>
      </c>
      <c r="AR159"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144.93883792048928</v>
      </c>
      <c r="AS159" s="10">
        <f>2*(Мособлдума_одномандатный_6[[#This Row],[Лазутина Лариса Евгеньевна]]-(AC$203/100)*Мособлдума_одномандатный_6[[#This Row],[Число действительных бюллетеней]])</f>
        <v>189.57999999999998</v>
      </c>
      <c r="AT159" s="10">
        <f>(Мособлдума_одномандатный_6[[#This Row],[Вброс]]+Мособлдума_одномандатный_6[[#This Row],[Перекладывание]])/2</f>
        <v>167.25941896024463</v>
      </c>
    </row>
    <row r="160" spans="2:46" x14ac:dyDescent="0.4">
      <c r="B160" t="s">
        <v>74</v>
      </c>
      <c r="C160" t="s">
        <v>366</v>
      </c>
      <c r="D160" t="s">
        <v>227</v>
      </c>
      <c r="E160" t="s">
        <v>288</v>
      </c>
      <c r="F160" s="1">
        <f t="shared" ca="1" si="56"/>
        <v>2034</v>
      </c>
      <c r="G160" s="8" t="str">
        <f>Дума_партии[[#This Row],[Местоположение]]</f>
        <v>Одинцово</v>
      </c>
      <c r="H160" s="2" t="str">
        <f>LEFT(Мособлдума_одномандатный_6[[#This Row],[tik]],4)&amp;"."&amp;IF(ISNUMBER(VALUE(RIGHT(Мособлдума_одномандатный_6[[#This Row],[tik]]))),RIGHT(Мособлдума_одномандатный_6[[#This Row],[tik]]),"")</f>
        <v>Один.2</v>
      </c>
      <c r="I160">
        <v>793</v>
      </c>
      <c r="J160" s="8">
        <f>Мособлдума_одномандатный_6[[#This Row],[Число избирателей, внесенных в список на момент окончания голосования]]</f>
        <v>793</v>
      </c>
      <c r="K160">
        <v>700</v>
      </c>
      <c r="M160">
        <v>365</v>
      </c>
      <c r="N160">
        <v>33</v>
      </c>
      <c r="O160" s="3">
        <f t="shared" si="57"/>
        <v>50.189155107187894</v>
      </c>
      <c r="P160" s="3">
        <f t="shared" si="58"/>
        <v>4.1614123581336697</v>
      </c>
      <c r="Q160">
        <v>302</v>
      </c>
      <c r="R160">
        <v>28</v>
      </c>
      <c r="S160">
        <v>339</v>
      </c>
      <c r="T160" s="1">
        <f t="shared" si="59"/>
        <v>367</v>
      </c>
      <c r="U160" s="3">
        <f t="shared" si="60"/>
        <v>7.6294277929155312</v>
      </c>
      <c r="V160">
        <v>21</v>
      </c>
      <c r="W160" s="3">
        <f t="shared" si="61"/>
        <v>5.7220708446866482</v>
      </c>
      <c r="X160">
        <v>346</v>
      </c>
      <c r="Y160">
        <v>0</v>
      </c>
      <c r="Z160">
        <v>0</v>
      </c>
      <c r="AA160">
        <v>56</v>
      </c>
      <c r="AB160" s="3">
        <f t="shared" si="62"/>
        <v>15.258855585831062</v>
      </c>
      <c r="AC160">
        <v>27</v>
      </c>
      <c r="AD160" s="3">
        <f t="shared" si="63"/>
        <v>7.3569482288828336</v>
      </c>
      <c r="AE160">
        <v>22</v>
      </c>
      <c r="AF160" s="3">
        <f t="shared" si="64"/>
        <v>5.9945504087193457</v>
      </c>
      <c r="AG160">
        <v>19</v>
      </c>
      <c r="AH160" s="3">
        <f t="shared" si="65"/>
        <v>5.177111716621253</v>
      </c>
      <c r="AI160">
        <v>141</v>
      </c>
      <c r="AJ160" s="3">
        <f t="shared" si="66"/>
        <v>38.419618528610357</v>
      </c>
      <c r="AK160">
        <v>26</v>
      </c>
      <c r="AL160" s="3">
        <f t="shared" si="55"/>
        <v>7.084468664850136</v>
      </c>
      <c r="AM160">
        <v>55</v>
      </c>
      <c r="AN160" s="3">
        <f t="shared" si="67"/>
        <v>14.986376021798366</v>
      </c>
      <c r="AO160" t="s">
        <v>370</v>
      </c>
      <c r="AP160" s="72">
        <f>Дума_партии[[#This Row],[КОИБ]]</f>
        <v>2017</v>
      </c>
      <c r="AQ160" s="1" t="str">
        <f>IF(Дума_партии[[#This Row],[Наблюдателей]]=0,"",Дума_партии[[#This Row],[Наблюдателей]])</f>
        <v/>
      </c>
      <c r="AR160"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32.54434250764524</v>
      </c>
      <c r="AS160" s="10">
        <f>2*(Мособлдума_одномандатный_6[[#This Row],[Лазутина Лариса Евгеньевна]]-(AC$203/100)*Мособлдума_одномандатный_6[[#This Row],[Число действительных бюллетеней]])</f>
        <v>42.567999999999984</v>
      </c>
      <c r="AT160" s="10">
        <f>(Мособлдума_одномандатный_6[[#This Row],[Вброс]]+Мособлдума_одномандатный_6[[#This Row],[Перекладывание]])/2</f>
        <v>37.556171253822612</v>
      </c>
    </row>
    <row r="161" spans="2:46" x14ac:dyDescent="0.4">
      <c r="B161" t="s">
        <v>74</v>
      </c>
      <c r="C161" t="s">
        <v>366</v>
      </c>
      <c r="D161" t="s">
        <v>227</v>
      </c>
      <c r="E161" t="s">
        <v>289</v>
      </c>
      <c r="F161" s="1">
        <f t="shared" ca="1" si="56"/>
        <v>2035</v>
      </c>
      <c r="G161" s="8" t="str">
        <f>Дума_партии[[#This Row],[Местоположение]]</f>
        <v>Одинцово</v>
      </c>
      <c r="H161" s="2" t="str">
        <f>LEFT(Мособлдума_одномандатный_6[[#This Row],[tik]],4)&amp;"."&amp;IF(ISNUMBER(VALUE(RIGHT(Мособлдума_одномандатный_6[[#This Row],[tik]]))),RIGHT(Мособлдума_одномандатный_6[[#This Row],[tik]]),"")</f>
        <v>Один.2</v>
      </c>
      <c r="I161">
        <v>1731</v>
      </c>
      <c r="J161" s="8">
        <f>Мособлдума_одномандатный_6[[#This Row],[Число избирателей, внесенных в список на момент окончания голосования]]</f>
        <v>1731</v>
      </c>
      <c r="K161">
        <v>1500</v>
      </c>
      <c r="M161">
        <v>7</v>
      </c>
      <c r="N161">
        <v>533</v>
      </c>
      <c r="O161" s="3">
        <f t="shared" si="57"/>
        <v>31.195840554592721</v>
      </c>
      <c r="P161" s="3">
        <f t="shared" si="58"/>
        <v>30.791450028885038</v>
      </c>
      <c r="Q161">
        <v>960</v>
      </c>
      <c r="R161">
        <v>7</v>
      </c>
      <c r="S161">
        <v>526</v>
      </c>
      <c r="T161" s="1">
        <f t="shared" si="59"/>
        <v>533</v>
      </c>
      <c r="U161" s="3">
        <f t="shared" si="60"/>
        <v>1.3133208255159474</v>
      </c>
      <c r="V161">
        <v>30</v>
      </c>
      <c r="W161" s="3">
        <f t="shared" si="61"/>
        <v>5.6285178236397746</v>
      </c>
      <c r="X161">
        <v>503</v>
      </c>
      <c r="Y161">
        <v>0</v>
      </c>
      <c r="Z161">
        <v>0</v>
      </c>
      <c r="AA161">
        <v>111</v>
      </c>
      <c r="AB161" s="3">
        <f t="shared" si="62"/>
        <v>20.825515947467167</v>
      </c>
      <c r="AC161">
        <v>22</v>
      </c>
      <c r="AD161" s="3">
        <f t="shared" si="63"/>
        <v>4.1275797373358349</v>
      </c>
      <c r="AE161">
        <v>19</v>
      </c>
      <c r="AF161" s="3">
        <f t="shared" si="64"/>
        <v>3.5647279549718576</v>
      </c>
      <c r="AG161">
        <v>15</v>
      </c>
      <c r="AH161" s="3">
        <f t="shared" si="65"/>
        <v>2.8142589118198873</v>
      </c>
      <c r="AI161">
        <v>190</v>
      </c>
      <c r="AJ161" s="3">
        <f t="shared" si="66"/>
        <v>35.647279549718576</v>
      </c>
      <c r="AK161">
        <v>38</v>
      </c>
      <c r="AL161" s="3">
        <f t="shared" si="55"/>
        <v>7.1294559099437151</v>
      </c>
      <c r="AM161">
        <v>108</v>
      </c>
      <c r="AN161" s="3">
        <f t="shared" si="67"/>
        <v>20.262664165103189</v>
      </c>
      <c r="AO161" t="s">
        <v>370</v>
      </c>
      <c r="AP161" s="72">
        <f>Дума_партии[[#This Row],[КОИБ]]</f>
        <v>2017</v>
      </c>
      <c r="AQ161" s="1" t="str">
        <f>IF(Дума_партии[[#This Row],[Наблюдателей]]=0,"",Дума_партии[[#This Row],[Наблюдателей]])</f>
        <v/>
      </c>
      <c r="AR161"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24.406727828746142</v>
      </c>
      <c r="AS161" s="10">
        <f>2*(Мособлдума_одномандатный_6[[#This Row],[Лазутина Лариса Евгеньевна]]-(AC$203/100)*Мособлдума_одномандатный_6[[#This Row],[Число действительных бюллетеней]])</f>
        <v>31.923999999999978</v>
      </c>
      <c r="AT161" s="10">
        <f>(Мособлдума_одномандатный_6[[#This Row],[Вброс]]+Мособлдума_одномандатный_6[[#This Row],[Перекладывание]])/2</f>
        <v>28.16536391437306</v>
      </c>
    </row>
    <row r="162" spans="2:46" x14ac:dyDescent="0.4">
      <c r="B162" t="s">
        <v>74</v>
      </c>
      <c r="C162" t="s">
        <v>366</v>
      </c>
      <c r="D162" t="s">
        <v>227</v>
      </c>
      <c r="E162" t="s">
        <v>290</v>
      </c>
      <c r="F162" s="1">
        <f t="shared" ca="1" si="56"/>
        <v>2036</v>
      </c>
      <c r="G162" s="8" t="str">
        <f>Дума_партии[[#This Row],[Местоположение]]</f>
        <v>Мамоново</v>
      </c>
      <c r="H162" s="2" t="str">
        <f>LEFT(Мособлдума_одномандатный_6[[#This Row],[tik]],4)&amp;"."&amp;IF(ISNUMBER(VALUE(RIGHT(Мособлдума_одномандатный_6[[#This Row],[tik]]))),RIGHT(Мособлдума_одномандатный_6[[#This Row],[tik]]),"")</f>
        <v>Один.2</v>
      </c>
      <c r="I162">
        <v>1086</v>
      </c>
      <c r="J162" s="8">
        <f>Мособлдума_одномандатный_6[[#This Row],[Число избирателей, внесенных в список на момент окончания голосования]]</f>
        <v>1086</v>
      </c>
      <c r="K162">
        <v>900</v>
      </c>
      <c r="M162">
        <v>220</v>
      </c>
      <c r="N162">
        <v>261</v>
      </c>
      <c r="O162" s="3">
        <f t="shared" si="57"/>
        <v>44.290976058931861</v>
      </c>
      <c r="P162" s="3">
        <f t="shared" si="58"/>
        <v>24.033149171270718</v>
      </c>
      <c r="Q162">
        <v>419</v>
      </c>
      <c r="R162">
        <v>260</v>
      </c>
      <c r="S162">
        <v>220</v>
      </c>
      <c r="T162" s="1">
        <f t="shared" si="59"/>
        <v>480</v>
      </c>
      <c r="U162" s="3">
        <f t="shared" si="60"/>
        <v>54.166666666666664</v>
      </c>
      <c r="V162">
        <v>11</v>
      </c>
      <c r="W162" s="3">
        <f t="shared" si="61"/>
        <v>2.2916666666666665</v>
      </c>
      <c r="X162">
        <v>469</v>
      </c>
      <c r="Y162">
        <v>0</v>
      </c>
      <c r="Z162">
        <v>0</v>
      </c>
      <c r="AA162">
        <v>63</v>
      </c>
      <c r="AB162" s="3">
        <f t="shared" si="62"/>
        <v>13.125</v>
      </c>
      <c r="AC162">
        <v>10</v>
      </c>
      <c r="AD162" s="3">
        <f t="shared" si="63"/>
        <v>2.0833333333333335</v>
      </c>
      <c r="AE162">
        <v>12</v>
      </c>
      <c r="AF162" s="3">
        <f t="shared" si="64"/>
        <v>2.5</v>
      </c>
      <c r="AG162">
        <v>17</v>
      </c>
      <c r="AH162" s="3">
        <f t="shared" si="65"/>
        <v>3.5416666666666665</v>
      </c>
      <c r="AI162">
        <v>311</v>
      </c>
      <c r="AJ162" s="3">
        <f t="shared" si="66"/>
        <v>64.791666666666671</v>
      </c>
      <c r="AK162">
        <v>21</v>
      </c>
      <c r="AL162" s="3">
        <f t="shared" si="55"/>
        <v>4.375</v>
      </c>
      <c r="AM162">
        <v>35</v>
      </c>
      <c r="AN162" s="3">
        <f t="shared" si="67"/>
        <v>7.291666666666667</v>
      </c>
      <c r="AO162" t="s">
        <v>370</v>
      </c>
      <c r="AP162" s="72">
        <f>Дума_партии[[#This Row],[КОИБ]]</f>
        <v>2017</v>
      </c>
      <c r="AQ162" s="1" t="str">
        <f>IF(Дума_партии[[#This Row],[Наблюдателей]]=0,"",Дума_партии[[#This Row],[Наблюдателей]])</f>
        <v/>
      </c>
      <c r="AR162"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227.40978593272169</v>
      </c>
      <c r="AS162" s="10">
        <f>2*(Мособлдума_одномандатный_6[[#This Row],[Лазутина Лариса Евгеньевна]]-(AC$203/100)*Мособлдума_одномандатный_6[[#This Row],[Число действительных бюллетеней]])</f>
        <v>297.452</v>
      </c>
      <c r="AT162" s="10">
        <f>(Мособлдума_одномандатный_6[[#This Row],[Вброс]]+Мособлдума_одномандатный_6[[#This Row],[Перекладывание]])/2</f>
        <v>262.43089296636083</v>
      </c>
    </row>
    <row r="163" spans="2:46" x14ac:dyDescent="0.4">
      <c r="B163" t="s">
        <v>74</v>
      </c>
      <c r="C163" t="s">
        <v>366</v>
      </c>
      <c r="D163" t="s">
        <v>227</v>
      </c>
      <c r="E163" t="s">
        <v>291</v>
      </c>
      <c r="F163" s="1">
        <f t="shared" ca="1" si="56"/>
        <v>2037</v>
      </c>
      <c r="G163" s="8" t="str">
        <f>Дума_партии[[#This Row],[Местоположение]]</f>
        <v>Одинцово</v>
      </c>
      <c r="H163" s="2" t="str">
        <f>LEFT(Мособлдума_одномандатный_6[[#This Row],[tik]],4)&amp;"."&amp;IF(ISNUMBER(VALUE(RIGHT(Мособлдума_одномандатный_6[[#This Row],[tik]]))),RIGHT(Мособлдума_одномандатный_6[[#This Row],[tik]]),"")</f>
        <v>Один.2</v>
      </c>
      <c r="I163">
        <v>3022</v>
      </c>
      <c r="J163" s="8">
        <f>Мособлдума_одномандатный_6[[#This Row],[Число избирателей, внесенных в список на момент окончания голосования]]</f>
        <v>3022</v>
      </c>
      <c r="K163">
        <v>2500</v>
      </c>
      <c r="M163">
        <v>781</v>
      </c>
      <c r="N163">
        <v>0</v>
      </c>
      <c r="O163" s="3">
        <f t="shared" si="57"/>
        <v>25.843812045003308</v>
      </c>
      <c r="P163" s="3">
        <f t="shared" si="58"/>
        <v>0</v>
      </c>
      <c r="Q163">
        <v>1719</v>
      </c>
      <c r="R163">
        <v>0</v>
      </c>
      <c r="S163">
        <v>780</v>
      </c>
      <c r="T163" s="1">
        <f t="shared" si="59"/>
        <v>780</v>
      </c>
      <c r="U163" s="3">
        <f t="shared" si="60"/>
        <v>0</v>
      </c>
      <c r="V163">
        <v>28</v>
      </c>
      <c r="W163" s="3">
        <f t="shared" si="61"/>
        <v>3.5897435897435899</v>
      </c>
      <c r="X163">
        <v>752</v>
      </c>
      <c r="Y163">
        <v>0</v>
      </c>
      <c r="Z163">
        <v>0</v>
      </c>
      <c r="AA163">
        <v>192</v>
      </c>
      <c r="AB163" s="3">
        <f t="shared" si="62"/>
        <v>24.615384615384617</v>
      </c>
      <c r="AC163">
        <v>49</v>
      </c>
      <c r="AD163" s="3">
        <f t="shared" si="63"/>
        <v>6.2820512820512819</v>
      </c>
      <c r="AE163">
        <v>44</v>
      </c>
      <c r="AF163" s="3">
        <f t="shared" si="64"/>
        <v>5.6410256410256414</v>
      </c>
      <c r="AG163">
        <v>53</v>
      </c>
      <c r="AH163" s="3">
        <f t="shared" si="65"/>
        <v>6.7948717948717947</v>
      </c>
      <c r="AI163">
        <v>214</v>
      </c>
      <c r="AJ163" s="3">
        <f t="shared" si="66"/>
        <v>27.435897435897434</v>
      </c>
      <c r="AK163">
        <v>47</v>
      </c>
      <c r="AL163" s="3">
        <f t="shared" si="55"/>
        <v>6.0256410256410255</v>
      </c>
      <c r="AM163">
        <v>153</v>
      </c>
      <c r="AN163" s="3">
        <f t="shared" si="67"/>
        <v>19.615384615384617</v>
      </c>
      <c r="AO163" t="s">
        <v>370</v>
      </c>
      <c r="AP163" s="72" t="str">
        <f>Дума_партии[[#This Row],[КОИБ]]</f>
        <v>N</v>
      </c>
      <c r="AQ163" s="1" t="str">
        <f>IF(Дума_партии[[#This Row],[Наблюдателей]]=0,"",Дума_партии[[#This Row],[Наблюдателей]])</f>
        <v/>
      </c>
      <c r="AR163"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-70.629969418960286</v>
      </c>
      <c r="AS163" s="10">
        <f>2*(Мособлдума_одномандатный_6[[#This Row],[Лазутина Лариса Евгеньевна]]-(AC$203/100)*Мособлдума_одномандатный_6[[#This Row],[Число действительных бюллетеней]])</f>
        <v>-92.384000000000015</v>
      </c>
      <c r="AT163" s="10">
        <f>(Мособлдума_одномандатный_6[[#This Row],[Вброс]]+Мособлдума_одномандатный_6[[#This Row],[Перекладывание]])/2</f>
        <v>-81.50698470948015</v>
      </c>
    </row>
    <row r="164" spans="2:46" x14ac:dyDescent="0.4">
      <c r="B164" t="s">
        <v>74</v>
      </c>
      <c r="C164" t="s">
        <v>366</v>
      </c>
      <c r="D164" t="s">
        <v>227</v>
      </c>
      <c r="E164" t="s">
        <v>292</v>
      </c>
      <c r="F164" s="1">
        <f t="shared" ca="1" si="56"/>
        <v>2038</v>
      </c>
      <c r="G164" s="8" t="str">
        <f>Дума_партии[[#This Row],[Местоположение]]</f>
        <v>Одинцово</v>
      </c>
      <c r="H164" s="2" t="str">
        <f>LEFT(Мособлдума_одномандатный_6[[#This Row],[tik]],4)&amp;"."&amp;IF(ISNUMBER(VALUE(RIGHT(Мособлдума_одномандатный_6[[#This Row],[tik]]))),RIGHT(Мособлдума_одномандатный_6[[#This Row],[tik]]),"")</f>
        <v>Один.2</v>
      </c>
      <c r="I164">
        <v>2514</v>
      </c>
      <c r="J164" s="8">
        <f>Мособлдума_одномандатный_6[[#This Row],[Число избирателей, внесенных в список на момент окончания голосования]]</f>
        <v>2514</v>
      </c>
      <c r="K164">
        <v>2000</v>
      </c>
      <c r="M164">
        <v>534</v>
      </c>
      <c r="N164">
        <v>1</v>
      </c>
      <c r="O164" s="3">
        <f t="shared" si="57"/>
        <v>21.28082736674622</v>
      </c>
      <c r="P164" s="3">
        <f t="shared" si="58"/>
        <v>3.9777247414478918E-2</v>
      </c>
      <c r="Q164">
        <v>1465</v>
      </c>
      <c r="R164">
        <v>1</v>
      </c>
      <c r="S164">
        <v>534</v>
      </c>
      <c r="T164" s="1">
        <f t="shared" si="59"/>
        <v>535</v>
      </c>
      <c r="U164" s="3">
        <f t="shared" si="60"/>
        <v>0.18691588785046728</v>
      </c>
      <c r="V164">
        <v>12</v>
      </c>
      <c r="W164" s="3">
        <f t="shared" si="61"/>
        <v>2.2429906542056073</v>
      </c>
      <c r="X164">
        <v>523</v>
      </c>
      <c r="Y164">
        <v>0</v>
      </c>
      <c r="Z164">
        <v>0</v>
      </c>
      <c r="AA164">
        <v>154</v>
      </c>
      <c r="AB164" s="3">
        <f t="shared" si="62"/>
        <v>28.785046728971963</v>
      </c>
      <c r="AC164">
        <v>25</v>
      </c>
      <c r="AD164" s="3">
        <f t="shared" si="63"/>
        <v>4.6728971962616823</v>
      </c>
      <c r="AE164">
        <v>23</v>
      </c>
      <c r="AF164" s="3">
        <f t="shared" si="64"/>
        <v>4.2990654205607477</v>
      </c>
      <c r="AG164">
        <v>38</v>
      </c>
      <c r="AH164" s="3">
        <f t="shared" si="65"/>
        <v>7.1028037383177569</v>
      </c>
      <c r="AI164">
        <v>161</v>
      </c>
      <c r="AJ164" s="3">
        <f t="shared" si="66"/>
        <v>30.093457943925234</v>
      </c>
      <c r="AK164">
        <v>25</v>
      </c>
      <c r="AL164" s="3">
        <f t="shared" si="55"/>
        <v>4.6728971962616823</v>
      </c>
      <c r="AM164">
        <v>97</v>
      </c>
      <c r="AN164" s="3">
        <f t="shared" si="67"/>
        <v>18.130841121495326</v>
      </c>
      <c r="AO164" t="s">
        <v>370</v>
      </c>
      <c r="AP164" s="72">
        <f>Дума_партии[[#This Row],[КОИБ]]</f>
        <v>2017</v>
      </c>
      <c r="AQ164" s="1">
        <f>IF(Дума_партии[[#This Row],[Наблюдателей]]=0,"",Дума_партии[[#This Row],[Наблюдателей]])</f>
        <v>1</v>
      </c>
      <c r="AR164"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-30.516819571865483</v>
      </c>
      <c r="AS164" s="10">
        <f>2*(Мособлдума_одномандатный_6[[#This Row],[Лазутина Лариса Евгеньевна]]-(AC$203/100)*Мособлдума_одномандатный_6[[#This Row],[Число действительных бюллетеней]])</f>
        <v>-39.916000000000054</v>
      </c>
      <c r="AT164" s="10">
        <f>(Мособлдума_одномандатный_6[[#This Row],[Вброс]]+Мособлдума_одномандатный_6[[#This Row],[Перекладывание]])/2</f>
        <v>-35.216409785932768</v>
      </c>
    </row>
    <row r="165" spans="2:46" x14ac:dyDescent="0.4">
      <c r="B165" t="s">
        <v>74</v>
      </c>
      <c r="C165" t="s">
        <v>366</v>
      </c>
      <c r="D165" t="s">
        <v>227</v>
      </c>
      <c r="E165" t="s">
        <v>293</v>
      </c>
      <c r="F165" s="1">
        <f t="shared" ca="1" si="56"/>
        <v>2039</v>
      </c>
      <c r="G165" s="8" t="str">
        <f>Дума_партии[[#This Row],[Местоположение]]</f>
        <v>Одинцово</v>
      </c>
      <c r="H165" s="2" t="str">
        <f>LEFT(Мособлдума_одномандатный_6[[#This Row],[tik]],4)&amp;"."&amp;IF(ISNUMBER(VALUE(RIGHT(Мособлдума_одномандатный_6[[#This Row],[tik]]))),RIGHT(Мособлдума_одномандатный_6[[#This Row],[tik]]),"")</f>
        <v>Один.2</v>
      </c>
      <c r="I165">
        <v>2306</v>
      </c>
      <c r="J165" s="8">
        <f>Мособлдума_одномандатный_6[[#This Row],[Число избирателей, внесенных в список на момент окончания голосования]]</f>
        <v>2306</v>
      </c>
      <c r="K165">
        <v>2000</v>
      </c>
      <c r="M165">
        <v>577</v>
      </c>
      <c r="N165">
        <v>2</v>
      </c>
      <c r="O165" s="3">
        <f t="shared" si="57"/>
        <v>25.108412836079793</v>
      </c>
      <c r="P165" s="3">
        <f t="shared" si="58"/>
        <v>8.6730268863833476E-2</v>
      </c>
      <c r="Q165">
        <v>1421</v>
      </c>
      <c r="R165">
        <v>2</v>
      </c>
      <c r="S165">
        <v>577</v>
      </c>
      <c r="T165" s="1">
        <f t="shared" si="59"/>
        <v>579</v>
      </c>
      <c r="U165" s="3">
        <f t="shared" si="60"/>
        <v>0.34542314335060448</v>
      </c>
      <c r="V165">
        <v>32</v>
      </c>
      <c r="W165" s="3">
        <f t="shared" si="61"/>
        <v>5.5267702936096716</v>
      </c>
      <c r="X165">
        <v>547</v>
      </c>
      <c r="Y165">
        <v>0</v>
      </c>
      <c r="Z165">
        <v>0</v>
      </c>
      <c r="AA165">
        <v>138</v>
      </c>
      <c r="AB165" s="3">
        <f t="shared" si="62"/>
        <v>23.834196891191709</v>
      </c>
      <c r="AC165">
        <v>36</v>
      </c>
      <c r="AD165" s="3">
        <f t="shared" si="63"/>
        <v>6.2176165803108807</v>
      </c>
      <c r="AE165">
        <v>20</v>
      </c>
      <c r="AF165" s="3">
        <f t="shared" si="64"/>
        <v>3.4542314335060449</v>
      </c>
      <c r="AG165">
        <v>32</v>
      </c>
      <c r="AH165" s="3">
        <f t="shared" si="65"/>
        <v>5.5267702936096716</v>
      </c>
      <c r="AI165">
        <v>158</v>
      </c>
      <c r="AJ165" s="3">
        <f t="shared" si="66"/>
        <v>27.288428324697755</v>
      </c>
      <c r="AK165">
        <v>42</v>
      </c>
      <c r="AL165" s="3">
        <f t="shared" si="55"/>
        <v>7.2538860103626943</v>
      </c>
      <c r="AM165">
        <v>121</v>
      </c>
      <c r="AN165" s="3">
        <f t="shared" si="67"/>
        <v>20.898100172711572</v>
      </c>
      <c r="AO165" t="s">
        <v>370</v>
      </c>
      <c r="AP165" s="72">
        <f>Дума_партии[[#This Row],[КОИБ]]</f>
        <v>2017</v>
      </c>
      <c r="AQ165" s="1" t="str">
        <f>IF(Дума_партии[[#This Row],[Наблюдателей]]=0,"",Дума_партии[[#This Row],[Наблюдателей]])</f>
        <v/>
      </c>
      <c r="AR165"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-47.801223241590264</v>
      </c>
      <c r="AS165" s="10">
        <f>2*(Мособлдума_одномандатный_6[[#This Row],[Лазутина Лариса Евгеньевна]]-(AC$203/100)*Мособлдума_одномандатный_6[[#This Row],[Число действительных бюллетеней]])</f>
        <v>-62.524000000000058</v>
      </c>
      <c r="AT165" s="10">
        <f>(Мособлдума_одномандатный_6[[#This Row],[Вброс]]+Мособлдума_одномандатный_6[[#This Row],[Перекладывание]])/2</f>
        <v>-55.162611620795161</v>
      </c>
    </row>
    <row r="166" spans="2:46" x14ac:dyDescent="0.4">
      <c r="B166" t="s">
        <v>74</v>
      </c>
      <c r="C166" t="s">
        <v>366</v>
      </c>
      <c r="D166" t="s">
        <v>227</v>
      </c>
      <c r="E166" t="s">
        <v>294</v>
      </c>
      <c r="F166" s="1">
        <f t="shared" ca="1" si="56"/>
        <v>2040</v>
      </c>
      <c r="G166" s="8" t="str">
        <f>Дума_партии[[#This Row],[Местоположение]]</f>
        <v>Одинцово</v>
      </c>
      <c r="H166" s="2" t="str">
        <f>LEFT(Мособлдума_одномандатный_6[[#This Row],[tik]],4)&amp;"."&amp;IF(ISNUMBER(VALUE(RIGHT(Мособлдума_одномандатный_6[[#This Row],[tik]]))),RIGHT(Мособлдума_одномандатный_6[[#This Row],[tik]]),"")</f>
        <v>Один.2</v>
      </c>
      <c r="I166">
        <v>2212</v>
      </c>
      <c r="J166" s="8">
        <f>Мособлдума_одномандатный_6[[#This Row],[Число избирателей, внесенных в список на момент окончания голосования]]</f>
        <v>2212</v>
      </c>
      <c r="K166">
        <v>1800</v>
      </c>
      <c r="M166">
        <v>552</v>
      </c>
      <c r="N166">
        <v>3</v>
      </c>
      <c r="O166" s="3">
        <f t="shared" si="57"/>
        <v>25.090415913200722</v>
      </c>
      <c r="P166" s="3">
        <f t="shared" si="58"/>
        <v>0.13562386980108498</v>
      </c>
      <c r="Q166">
        <v>1245</v>
      </c>
      <c r="R166">
        <v>3</v>
      </c>
      <c r="S166">
        <v>548</v>
      </c>
      <c r="T166" s="1">
        <f t="shared" si="59"/>
        <v>551</v>
      </c>
      <c r="U166" s="3">
        <f t="shared" si="60"/>
        <v>0.54446460980036293</v>
      </c>
      <c r="V166">
        <v>19</v>
      </c>
      <c r="W166" s="3">
        <f t="shared" si="61"/>
        <v>3.4482758620689653</v>
      </c>
      <c r="X166">
        <v>532</v>
      </c>
      <c r="Y166">
        <v>0</v>
      </c>
      <c r="Z166">
        <v>0</v>
      </c>
      <c r="AA166">
        <v>170</v>
      </c>
      <c r="AB166" s="3">
        <f t="shared" si="62"/>
        <v>30.852994555353902</v>
      </c>
      <c r="AC166">
        <v>30</v>
      </c>
      <c r="AD166" s="3">
        <f t="shared" si="63"/>
        <v>5.4446460980036298</v>
      </c>
      <c r="AE166">
        <v>26</v>
      </c>
      <c r="AF166" s="3">
        <f t="shared" si="64"/>
        <v>4.7186932849364789</v>
      </c>
      <c r="AG166">
        <v>18</v>
      </c>
      <c r="AH166" s="3">
        <f t="shared" si="65"/>
        <v>3.266787658802178</v>
      </c>
      <c r="AI166">
        <v>147</v>
      </c>
      <c r="AJ166" s="3">
        <f t="shared" si="66"/>
        <v>26.678765880217785</v>
      </c>
      <c r="AK166">
        <v>36</v>
      </c>
      <c r="AL166" s="3">
        <f t="shared" si="55"/>
        <v>6.5335753176043561</v>
      </c>
      <c r="AM166">
        <v>105</v>
      </c>
      <c r="AN166" s="3">
        <f t="shared" si="67"/>
        <v>19.056261343012704</v>
      </c>
      <c r="AO166" t="s">
        <v>370</v>
      </c>
      <c r="AP166" s="72">
        <f>Дума_партии[[#This Row],[КОИБ]]</f>
        <v>2017</v>
      </c>
      <c r="AQ166" s="1" t="str">
        <f>IF(Дума_партии[[#This Row],[Наблюдателей]]=0,"",Дума_партии[[#This Row],[Наблюдателей]])</f>
        <v/>
      </c>
      <c r="AR166"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-56.685015290519914</v>
      </c>
      <c r="AS166" s="10">
        <f>2*(Мособлдума_одномандатный_6[[#This Row],[Лазутина Лариса Евгеньевна]]-(AC$203/100)*Мособлдума_одномандатный_6[[#This Row],[Число действительных бюллетеней]])</f>
        <v>-74.144000000000005</v>
      </c>
      <c r="AT166" s="10">
        <f>(Мособлдума_одномандатный_6[[#This Row],[Вброс]]+Мособлдума_одномандатный_6[[#This Row],[Перекладывание]])/2</f>
        <v>-65.41450764525996</v>
      </c>
    </row>
    <row r="167" spans="2:46" x14ac:dyDescent="0.4">
      <c r="B167" t="s">
        <v>74</v>
      </c>
      <c r="C167" t="s">
        <v>366</v>
      </c>
      <c r="D167" t="s">
        <v>227</v>
      </c>
      <c r="E167" t="s">
        <v>295</v>
      </c>
      <c r="F167" s="1">
        <f t="shared" ca="1" si="56"/>
        <v>2041</v>
      </c>
      <c r="G167" s="8" t="str">
        <f>Дума_партии[[#This Row],[Местоположение]]</f>
        <v>Одинцово</v>
      </c>
      <c r="H167" s="2" t="str">
        <f>LEFT(Мособлдума_одномандатный_6[[#This Row],[tik]],4)&amp;"."&amp;IF(ISNUMBER(VALUE(RIGHT(Мособлдума_одномандатный_6[[#This Row],[tik]]))),RIGHT(Мособлдума_одномандатный_6[[#This Row],[tik]]),"")</f>
        <v>Один.2</v>
      </c>
      <c r="I167">
        <v>2419</v>
      </c>
      <c r="J167" s="8">
        <f>Мособлдума_одномандатный_6[[#This Row],[Число избирателей, внесенных в список на момент окончания голосования]]</f>
        <v>2419</v>
      </c>
      <c r="K167">
        <v>2000</v>
      </c>
      <c r="M167">
        <v>620</v>
      </c>
      <c r="N167">
        <v>3</v>
      </c>
      <c r="O167" s="3">
        <f t="shared" si="57"/>
        <v>25.754443985117817</v>
      </c>
      <c r="P167" s="3">
        <f t="shared" si="58"/>
        <v>0.12401818933443572</v>
      </c>
      <c r="Q167">
        <v>1377</v>
      </c>
      <c r="R167">
        <v>3</v>
      </c>
      <c r="S167">
        <v>620</v>
      </c>
      <c r="T167" s="1">
        <f t="shared" si="59"/>
        <v>623</v>
      </c>
      <c r="U167" s="3">
        <f t="shared" si="60"/>
        <v>0.48154093097913325</v>
      </c>
      <c r="V167">
        <v>40</v>
      </c>
      <c r="W167" s="3">
        <f t="shared" si="61"/>
        <v>6.4205457463884432</v>
      </c>
      <c r="X167">
        <v>583</v>
      </c>
      <c r="Y167">
        <v>0</v>
      </c>
      <c r="Z167">
        <v>0</v>
      </c>
      <c r="AA167">
        <v>167</v>
      </c>
      <c r="AB167" s="3">
        <f t="shared" si="62"/>
        <v>26.80577849117175</v>
      </c>
      <c r="AC167">
        <v>30</v>
      </c>
      <c r="AD167" s="3">
        <f t="shared" si="63"/>
        <v>4.815409309791332</v>
      </c>
      <c r="AE167">
        <v>31</v>
      </c>
      <c r="AF167" s="3">
        <f t="shared" si="64"/>
        <v>4.9759229534510432</v>
      </c>
      <c r="AG167">
        <v>24</v>
      </c>
      <c r="AH167" s="3">
        <f t="shared" si="65"/>
        <v>3.852327447833066</v>
      </c>
      <c r="AI167">
        <v>172</v>
      </c>
      <c r="AJ167" s="3">
        <f t="shared" si="66"/>
        <v>27.608346709470304</v>
      </c>
      <c r="AK167">
        <v>36</v>
      </c>
      <c r="AL167" s="3">
        <f t="shared" si="55"/>
        <v>5.7784911717495984</v>
      </c>
      <c r="AM167">
        <v>123</v>
      </c>
      <c r="AN167" s="3">
        <f t="shared" si="67"/>
        <v>19.743178170144461</v>
      </c>
      <c r="AO167" t="s">
        <v>370</v>
      </c>
      <c r="AP167" s="72">
        <f>Дума_партии[[#This Row],[КОИБ]]</f>
        <v>2017</v>
      </c>
      <c r="AQ167" s="1" t="str">
        <f>IF(Дума_партии[[#This Row],[Наблюдателей]]=0,"",Дума_партии[[#This Row],[Наблюдателей]])</f>
        <v/>
      </c>
      <c r="AR167"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-45.440366972477108</v>
      </c>
      <c r="AS167" s="10">
        <f>2*(Мособлдума_одномандатный_6[[#This Row],[Лазутина Лариса Евгеньевна]]-(AC$203/100)*Мособлдума_одномандатный_6[[#This Row],[Число действительных бюллетеней]])</f>
        <v>-59.436000000000035</v>
      </c>
      <c r="AT167" s="10">
        <f>(Мособлдума_одномандатный_6[[#This Row],[Вброс]]+Мособлдума_одномандатный_6[[#This Row],[Перекладывание]])/2</f>
        <v>-52.438183486238572</v>
      </c>
    </row>
    <row r="168" spans="2:46" x14ac:dyDescent="0.4">
      <c r="B168" t="s">
        <v>74</v>
      </c>
      <c r="C168" t="s">
        <v>366</v>
      </c>
      <c r="D168" t="s">
        <v>227</v>
      </c>
      <c r="E168" t="s">
        <v>296</v>
      </c>
      <c r="F168" s="1">
        <f t="shared" ca="1" si="56"/>
        <v>2042</v>
      </c>
      <c r="G168" s="8" t="str">
        <f>Дума_партии[[#This Row],[Местоположение]]</f>
        <v>Одинцово</v>
      </c>
      <c r="H168" s="2" t="str">
        <f>LEFT(Мособлдума_одномандатный_6[[#This Row],[tik]],4)&amp;"."&amp;IF(ISNUMBER(VALUE(RIGHT(Мособлдума_одномандатный_6[[#This Row],[tik]]))),RIGHT(Мособлдума_одномандатный_6[[#This Row],[tik]]),"")</f>
        <v>Один.2</v>
      </c>
      <c r="I168">
        <v>2132</v>
      </c>
      <c r="J168" s="8">
        <f>Мособлдума_одномандатный_6[[#This Row],[Число избирателей, внесенных в список на момент окончания голосования]]</f>
        <v>2132</v>
      </c>
      <c r="K168">
        <v>1700</v>
      </c>
      <c r="M168">
        <v>491</v>
      </c>
      <c r="N168">
        <v>1</v>
      </c>
      <c r="O168" s="3">
        <f t="shared" si="57"/>
        <v>23.076923076923077</v>
      </c>
      <c r="P168" s="3">
        <f t="shared" si="58"/>
        <v>4.6904315196998121E-2</v>
      </c>
      <c r="Q168">
        <v>1208</v>
      </c>
      <c r="R168">
        <v>1</v>
      </c>
      <c r="S168">
        <v>490</v>
      </c>
      <c r="T168" s="1">
        <f t="shared" si="59"/>
        <v>491</v>
      </c>
      <c r="U168" s="3">
        <f t="shared" si="60"/>
        <v>0.20366598778004075</v>
      </c>
      <c r="V168">
        <v>27</v>
      </c>
      <c r="W168" s="3">
        <f t="shared" si="61"/>
        <v>5.4989816700610996</v>
      </c>
      <c r="X168">
        <v>464</v>
      </c>
      <c r="Y168">
        <v>0</v>
      </c>
      <c r="Z168">
        <v>0</v>
      </c>
      <c r="AA168">
        <v>136</v>
      </c>
      <c r="AB168" s="3">
        <f t="shared" si="62"/>
        <v>27.698574338085539</v>
      </c>
      <c r="AC168">
        <v>30</v>
      </c>
      <c r="AD168" s="3">
        <f t="shared" si="63"/>
        <v>6.1099796334012222</v>
      </c>
      <c r="AE168">
        <v>20</v>
      </c>
      <c r="AF168" s="3">
        <f t="shared" si="64"/>
        <v>4.0733197556008145</v>
      </c>
      <c r="AG168">
        <v>16</v>
      </c>
      <c r="AH168" s="3">
        <f t="shared" si="65"/>
        <v>3.258655804480652</v>
      </c>
      <c r="AI168">
        <v>154</v>
      </c>
      <c r="AJ168" s="3">
        <f t="shared" si="66"/>
        <v>31.364562118126273</v>
      </c>
      <c r="AK168">
        <v>29</v>
      </c>
      <c r="AL168" s="3">
        <f t="shared" si="55"/>
        <v>5.9063136456211813</v>
      </c>
      <c r="AM168">
        <v>79</v>
      </c>
      <c r="AN168" s="3">
        <f t="shared" si="67"/>
        <v>16.089613034623216</v>
      </c>
      <c r="AO168" t="s">
        <v>370</v>
      </c>
      <c r="AP168" s="72">
        <f>Дума_партии[[#This Row],[КОИБ]]</f>
        <v>2017</v>
      </c>
      <c r="AQ168" s="1" t="str">
        <f>IF(Дума_партии[[#This Row],[Наблюдателей]]=0,"",Дума_партии[[#This Row],[Наблюдателей]])</f>
        <v/>
      </c>
      <c r="AR168"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-10.006116207951095</v>
      </c>
      <c r="AS168" s="10">
        <f>2*(Мособлдума_одномандатный_6[[#This Row],[Лазутина Лариса Евгеньевна]]-(AC$203/100)*Мособлдума_одномандатный_6[[#This Row],[Число действительных бюллетеней]])</f>
        <v>-13.088000000000022</v>
      </c>
      <c r="AT168" s="10">
        <f>(Мособлдума_одномандатный_6[[#This Row],[Вброс]]+Мособлдума_одномандатный_6[[#This Row],[Перекладывание]])/2</f>
        <v>-11.547058103975559</v>
      </c>
    </row>
    <row r="169" spans="2:46" x14ac:dyDescent="0.4">
      <c r="B169" t="s">
        <v>74</v>
      </c>
      <c r="C169" t="s">
        <v>366</v>
      </c>
      <c r="D169" t="s">
        <v>227</v>
      </c>
      <c r="E169" t="s">
        <v>297</v>
      </c>
      <c r="F169" s="1">
        <f t="shared" ca="1" si="56"/>
        <v>2043</v>
      </c>
      <c r="G169" s="8" t="str">
        <f>Дума_партии[[#This Row],[Местоположение]]</f>
        <v>Одинцово</v>
      </c>
      <c r="H169" s="2" t="str">
        <f>LEFT(Мособлдума_одномандатный_6[[#This Row],[tik]],4)&amp;"."&amp;IF(ISNUMBER(VALUE(RIGHT(Мособлдума_одномандатный_6[[#This Row],[tik]]))),RIGHT(Мособлдума_одномандатный_6[[#This Row],[tik]]),"")</f>
        <v>Один.2</v>
      </c>
      <c r="I169">
        <v>2359</v>
      </c>
      <c r="J169" s="8">
        <f>Мособлдума_одномандатный_6[[#This Row],[Число избирателей, внесенных в список на момент окончания голосования]]</f>
        <v>2359</v>
      </c>
      <c r="K169">
        <v>2000</v>
      </c>
      <c r="M169">
        <v>503</v>
      </c>
      <c r="N169">
        <v>3</v>
      </c>
      <c r="O169" s="3">
        <f t="shared" si="57"/>
        <v>21.449766850360323</v>
      </c>
      <c r="P169" s="3">
        <f t="shared" si="58"/>
        <v>0.1271725307333616</v>
      </c>
      <c r="Q169">
        <v>1494</v>
      </c>
      <c r="R169">
        <v>3</v>
      </c>
      <c r="S169">
        <v>500</v>
      </c>
      <c r="T169" s="1">
        <f t="shared" si="59"/>
        <v>503</v>
      </c>
      <c r="U169" s="3">
        <f t="shared" si="60"/>
        <v>0.59642147117296218</v>
      </c>
      <c r="V169">
        <v>18</v>
      </c>
      <c r="W169" s="3">
        <f t="shared" si="61"/>
        <v>3.5785288270377733</v>
      </c>
      <c r="X169">
        <v>485</v>
      </c>
      <c r="Y169">
        <v>0</v>
      </c>
      <c r="Z169">
        <v>0</v>
      </c>
      <c r="AA169">
        <v>151</v>
      </c>
      <c r="AB169" s="3">
        <f t="shared" si="62"/>
        <v>30.019880715705764</v>
      </c>
      <c r="AC169">
        <v>19</v>
      </c>
      <c r="AD169" s="3">
        <f t="shared" si="63"/>
        <v>3.7773359840954273</v>
      </c>
      <c r="AE169">
        <v>19</v>
      </c>
      <c r="AF169" s="3">
        <f t="shared" si="64"/>
        <v>3.7773359840954273</v>
      </c>
      <c r="AG169">
        <v>16</v>
      </c>
      <c r="AH169" s="3">
        <f t="shared" si="65"/>
        <v>3.1809145129224654</v>
      </c>
      <c r="AI169">
        <v>144</v>
      </c>
      <c r="AJ169" s="3">
        <f t="shared" si="66"/>
        <v>28.628230616302186</v>
      </c>
      <c r="AK169">
        <v>32</v>
      </c>
      <c r="AL169" s="3">
        <f t="shared" si="55"/>
        <v>6.3618290258449308</v>
      </c>
      <c r="AM169">
        <v>104</v>
      </c>
      <c r="AN169" s="3">
        <f t="shared" si="67"/>
        <v>20.675944333996025</v>
      </c>
      <c r="AO169" t="s">
        <v>370</v>
      </c>
      <c r="AP169" s="72">
        <f>Дума_партии[[#This Row],[КОИБ]]</f>
        <v>2017</v>
      </c>
      <c r="AQ169" s="1" t="str">
        <f>IF(Дума_партии[[#This Row],[Наблюдателей]]=0,"",Дума_партии[[#This Row],[Наблюдателей]])</f>
        <v/>
      </c>
      <c r="AR169"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-36.406727828746227</v>
      </c>
      <c r="AS169" s="10">
        <f>2*(Мособлдума_одномандатный_6[[#This Row],[Лазутина Лариса Евгеньевна]]-(AC$203/100)*Мособлдума_одномандатный_6[[#This Row],[Число действительных бюллетеней]])</f>
        <v>-47.620000000000005</v>
      </c>
      <c r="AT169" s="10">
        <f>(Мособлдума_одномандатный_6[[#This Row],[Вброс]]+Мособлдума_одномандатный_6[[#This Row],[Перекладывание]])/2</f>
        <v>-42.013363914373116</v>
      </c>
    </row>
    <row r="170" spans="2:46" x14ac:dyDescent="0.4">
      <c r="B170" t="s">
        <v>74</v>
      </c>
      <c r="C170" t="s">
        <v>366</v>
      </c>
      <c r="D170" t="s">
        <v>227</v>
      </c>
      <c r="E170" t="s">
        <v>298</v>
      </c>
      <c r="F170" s="1">
        <f t="shared" ca="1" si="56"/>
        <v>2045</v>
      </c>
      <c r="G170" s="8" t="str">
        <f>Дума_партии[[#This Row],[Местоположение]]</f>
        <v>Немчиновка</v>
      </c>
      <c r="H170" s="2" t="str">
        <f>LEFT(Мособлдума_одномандатный_6[[#This Row],[tik]],4)&amp;"."&amp;IF(ISNUMBER(VALUE(RIGHT(Мособлдума_одномандатный_6[[#This Row],[tik]]))),RIGHT(Мособлдума_одномандатный_6[[#This Row],[tik]]),"")</f>
        <v>Один.2</v>
      </c>
      <c r="I170">
        <v>2958</v>
      </c>
      <c r="J170" s="8">
        <f>Мособлдума_одномандатный_6[[#This Row],[Число избирателей, внесенных в список на момент окончания голосования]]</f>
        <v>2958</v>
      </c>
      <c r="K170">
        <v>2500</v>
      </c>
      <c r="M170">
        <v>700</v>
      </c>
      <c r="N170">
        <v>18</v>
      </c>
      <c r="O170" s="3">
        <f t="shared" si="57"/>
        <v>24.273157538877619</v>
      </c>
      <c r="P170" s="3">
        <f t="shared" si="58"/>
        <v>0.60851926977687631</v>
      </c>
      <c r="Q170">
        <v>1782</v>
      </c>
      <c r="R170">
        <v>18</v>
      </c>
      <c r="S170">
        <v>700</v>
      </c>
      <c r="T170" s="1">
        <f t="shared" si="59"/>
        <v>718</v>
      </c>
      <c r="U170" s="3">
        <f t="shared" si="60"/>
        <v>2.5069637883008355</v>
      </c>
      <c r="V170">
        <v>59</v>
      </c>
      <c r="W170" s="3">
        <f t="shared" si="61"/>
        <v>8.2172701949860727</v>
      </c>
      <c r="X170">
        <v>659</v>
      </c>
      <c r="Y170">
        <v>0</v>
      </c>
      <c r="Z170">
        <v>0</v>
      </c>
      <c r="AA170">
        <v>164</v>
      </c>
      <c r="AB170" s="3">
        <f t="shared" si="62"/>
        <v>22.841225626740947</v>
      </c>
      <c r="AC170">
        <v>33</v>
      </c>
      <c r="AD170" s="3">
        <f t="shared" si="63"/>
        <v>4.5961002785515319</v>
      </c>
      <c r="AE170">
        <v>16</v>
      </c>
      <c r="AF170" s="3">
        <f t="shared" si="64"/>
        <v>2.2284122562674096</v>
      </c>
      <c r="AG170">
        <v>27</v>
      </c>
      <c r="AH170" s="3">
        <f t="shared" si="65"/>
        <v>3.7604456824512535</v>
      </c>
      <c r="AI170">
        <v>194</v>
      </c>
      <c r="AJ170" s="3">
        <f t="shared" si="66"/>
        <v>27.01949860724234</v>
      </c>
      <c r="AK170">
        <v>63</v>
      </c>
      <c r="AL170" s="3">
        <f t="shared" si="55"/>
        <v>8.7743732590529255</v>
      </c>
      <c r="AM170">
        <v>162</v>
      </c>
      <c r="AN170" s="3">
        <f t="shared" si="67"/>
        <v>22.562674094707521</v>
      </c>
      <c r="AO170" t="s">
        <v>370</v>
      </c>
      <c r="AP170" s="72" t="str">
        <f>Дума_партии[[#This Row],[КОИБ]]</f>
        <v>N</v>
      </c>
      <c r="AQ170" s="1">
        <f>IF(Дума_партии[[#This Row],[Наблюдателей]]=0,"",Дума_партии[[#This Row],[Наблюдателей]])</f>
        <v>1</v>
      </c>
      <c r="AR170"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-52.009174311926671</v>
      </c>
      <c r="AS170" s="10">
        <f>2*(Мособлдума_одномандатный_6[[#This Row],[Лазутина Лариса Евгеньевна]]-(AC$203/100)*Мособлдума_одномандатный_6[[#This Row],[Число действительных бюллетеней]])</f>
        <v>-68.02800000000002</v>
      </c>
      <c r="AT170" s="10">
        <f>(Мособлдума_одномандатный_6[[#This Row],[Вброс]]+Мособлдума_одномандатный_6[[#This Row],[Перекладывание]])/2</f>
        <v>-60.018587155963345</v>
      </c>
    </row>
    <row r="171" spans="2:46" x14ac:dyDescent="0.4">
      <c r="B171" t="s">
        <v>74</v>
      </c>
      <c r="C171" t="s">
        <v>366</v>
      </c>
      <c r="D171" t="s">
        <v>227</v>
      </c>
      <c r="E171" t="s">
        <v>299</v>
      </c>
      <c r="F171" s="1">
        <f t="shared" ca="1" si="56"/>
        <v>2046</v>
      </c>
      <c r="G171" s="8" t="str">
        <f>Дума_партии[[#This Row],[Местоположение]]</f>
        <v>Немчиновка</v>
      </c>
      <c r="H171" s="2" t="str">
        <f>LEFT(Мособлдума_одномандатный_6[[#This Row],[tik]],4)&amp;"."&amp;IF(ISNUMBER(VALUE(RIGHT(Мособлдума_одномандатный_6[[#This Row],[tik]]))),RIGHT(Мособлдума_одномандатный_6[[#This Row],[tik]]),"")</f>
        <v>Один.2</v>
      </c>
      <c r="I171">
        <v>749</v>
      </c>
      <c r="J171" s="8">
        <f>Мособлдума_одномандатный_6[[#This Row],[Число избирателей, внесенных в список на момент окончания голосования]]</f>
        <v>749</v>
      </c>
      <c r="K171">
        <v>600</v>
      </c>
      <c r="M171">
        <v>119</v>
      </c>
      <c r="N171">
        <v>6</v>
      </c>
      <c r="O171" s="3">
        <f t="shared" si="57"/>
        <v>16.688918558077436</v>
      </c>
      <c r="P171" s="3">
        <f t="shared" si="58"/>
        <v>0.8010680907877169</v>
      </c>
      <c r="Q171">
        <v>475</v>
      </c>
      <c r="R171">
        <v>6</v>
      </c>
      <c r="S171">
        <v>113</v>
      </c>
      <c r="T171" s="1">
        <f t="shared" si="59"/>
        <v>119</v>
      </c>
      <c r="U171" s="3">
        <f t="shared" si="60"/>
        <v>5.0420168067226889</v>
      </c>
      <c r="V171">
        <v>8</v>
      </c>
      <c r="W171" s="3">
        <f t="shared" si="61"/>
        <v>6.7226890756302522</v>
      </c>
      <c r="X171">
        <v>111</v>
      </c>
      <c r="Y171">
        <v>0</v>
      </c>
      <c r="Z171">
        <v>0</v>
      </c>
      <c r="AA171">
        <v>29</v>
      </c>
      <c r="AB171" s="3">
        <f t="shared" si="62"/>
        <v>24.369747899159663</v>
      </c>
      <c r="AC171">
        <v>3</v>
      </c>
      <c r="AD171" s="3">
        <f t="shared" si="63"/>
        <v>2.5210084033613445</v>
      </c>
      <c r="AE171">
        <v>8</v>
      </c>
      <c r="AF171" s="3">
        <f t="shared" si="64"/>
        <v>6.7226890756302522</v>
      </c>
      <c r="AG171">
        <v>8</v>
      </c>
      <c r="AH171" s="3">
        <f t="shared" si="65"/>
        <v>6.7226890756302522</v>
      </c>
      <c r="AI171">
        <v>31</v>
      </c>
      <c r="AJ171" s="3">
        <f t="shared" si="66"/>
        <v>26.050420168067227</v>
      </c>
      <c r="AK171">
        <v>7</v>
      </c>
      <c r="AL171" s="3">
        <f t="shared" si="55"/>
        <v>5.882352941176471</v>
      </c>
      <c r="AM171">
        <v>25</v>
      </c>
      <c r="AN171" s="3">
        <f t="shared" si="67"/>
        <v>21.008403361344538</v>
      </c>
      <c r="AO171" t="s">
        <v>370</v>
      </c>
      <c r="AP171" s="72">
        <f>Дума_партии[[#This Row],[КОИБ]]</f>
        <v>2017</v>
      </c>
      <c r="AQ171" s="1" t="str">
        <f>IF(Дума_партии[[#This Row],[Наблюдателей]]=0,"",Дума_партии[[#This Row],[Наблюдателей]])</f>
        <v/>
      </c>
      <c r="AR171"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-11.324159021406736</v>
      </c>
      <c r="AS171" s="10">
        <f>2*(Мособлдума_одномандатный_6[[#This Row],[Лазутина Лариса Евгеньевна]]-(AC$203/100)*Мособлдума_одномандатный_6[[#This Row],[Число действительных бюллетеней]])</f>
        <v>-14.812000000000012</v>
      </c>
      <c r="AT171" s="10">
        <f>(Мособлдума_одномандатный_6[[#This Row],[Вброс]]+Мособлдума_одномандатный_6[[#This Row],[Перекладывание]])/2</f>
        <v>-13.068079510703374</v>
      </c>
    </row>
    <row r="172" spans="2:46" x14ac:dyDescent="0.4">
      <c r="B172" t="s">
        <v>74</v>
      </c>
      <c r="C172" t="s">
        <v>366</v>
      </c>
      <c r="D172" t="s">
        <v>227</v>
      </c>
      <c r="E172" t="s">
        <v>300</v>
      </c>
      <c r="F172" s="1">
        <f t="shared" ca="1" si="56"/>
        <v>2047</v>
      </c>
      <c r="G172" s="8" t="str">
        <f>Дума_партии[[#This Row],[Местоположение]]</f>
        <v>Ромашково</v>
      </c>
      <c r="H172" s="2" t="str">
        <f>LEFT(Мособлдума_одномандатный_6[[#This Row],[tik]],4)&amp;"."&amp;IF(ISNUMBER(VALUE(RIGHT(Мособлдума_одномандатный_6[[#This Row],[tik]]))),RIGHT(Мособлдума_одномандатный_6[[#This Row],[tik]]),"")</f>
        <v>Один.2</v>
      </c>
      <c r="I172">
        <v>2663</v>
      </c>
      <c r="J172" s="8">
        <f>Мособлдума_одномандатный_6[[#This Row],[Число избирателей, внесенных в список на момент окончания голосования]]</f>
        <v>2663</v>
      </c>
      <c r="K172">
        <v>2000</v>
      </c>
      <c r="M172">
        <v>518</v>
      </c>
      <c r="N172">
        <v>22</v>
      </c>
      <c r="O172" s="3">
        <f t="shared" si="57"/>
        <v>20.277882087870822</v>
      </c>
      <c r="P172" s="3">
        <f t="shared" si="58"/>
        <v>0.82613593691325571</v>
      </c>
      <c r="Q172">
        <v>1460</v>
      </c>
      <c r="R172">
        <v>22</v>
      </c>
      <c r="S172">
        <v>518</v>
      </c>
      <c r="T172" s="1">
        <f t="shared" si="59"/>
        <v>540</v>
      </c>
      <c r="U172" s="3">
        <f t="shared" si="60"/>
        <v>4.0740740740740744</v>
      </c>
      <c r="V172">
        <v>29</v>
      </c>
      <c r="W172" s="3">
        <f t="shared" si="61"/>
        <v>5.3703703703703702</v>
      </c>
      <c r="X172">
        <v>511</v>
      </c>
      <c r="Y172">
        <v>0</v>
      </c>
      <c r="Z172">
        <v>0</v>
      </c>
      <c r="AA172">
        <v>165</v>
      </c>
      <c r="AB172" s="3">
        <f t="shared" si="62"/>
        <v>30.555555555555557</v>
      </c>
      <c r="AC172">
        <v>32</v>
      </c>
      <c r="AD172" s="3">
        <f t="shared" si="63"/>
        <v>5.9259259259259256</v>
      </c>
      <c r="AE172">
        <v>27</v>
      </c>
      <c r="AF172" s="3">
        <f t="shared" si="64"/>
        <v>5</v>
      </c>
      <c r="AG172">
        <v>28</v>
      </c>
      <c r="AH172" s="3">
        <f t="shared" si="65"/>
        <v>5.1851851851851851</v>
      </c>
      <c r="AI172">
        <v>128</v>
      </c>
      <c r="AJ172" s="3">
        <f t="shared" si="66"/>
        <v>23.703703703703702</v>
      </c>
      <c r="AK172">
        <v>32</v>
      </c>
      <c r="AL172" s="3">
        <f t="shared" si="55"/>
        <v>5.9259259259259256</v>
      </c>
      <c r="AM172">
        <v>99</v>
      </c>
      <c r="AN172" s="3">
        <f t="shared" si="67"/>
        <v>18.333333333333332</v>
      </c>
      <c r="AO172" t="s">
        <v>370</v>
      </c>
      <c r="AP172" s="72" t="str">
        <f>Дума_партии[[#This Row],[КОИБ]]</f>
        <v>N</v>
      </c>
      <c r="AQ172" s="1">
        <f>IF(Дума_партии[[#This Row],[Наблюдателей]]=0,"",Дума_партии[[#This Row],[Наблюдателей]])</f>
        <v>1</v>
      </c>
      <c r="AR172"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-74.626911314984767</v>
      </c>
      <c r="AS172" s="10">
        <f>2*(Мособлдума_одномандатный_6[[#This Row],[Лазутина Лариса Евгеньевна]]-(AC$203/100)*Мособлдума_одномандатный_6[[#This Row],[Число действительных бюллетеней]])</f>
        <v>-97.612000000000023</v>
      </c>
      <c r="AT172" s="10">
        <f>(Мособлдума_одномандатный_6[[#This Row],[Вброс]]+Мособлдума_одномандатный_6[[#This Row],[Перекладывание]])/2</f>
        <v>-86.119455657492395</v>
      </c>
    </row>
    <row r="173" spans="2:46" x14ac:dyDescent="0.4">
      <c r="B173" t="s">
        <v>74</v>
      </c>
      <c r="C173" t="s">
        <v>366</v>
      </c>
      <c r="D173" t="s">
        <v>227</v>
      </c>
      <c r="E173" t="s">
        <v>301</v>
      </c>
      <c r="F173" s="1">
        <f t="shared" ca="1" si="56"/>
        <v>2070</v>
      </c>
      <c r="G173" s="8" t="str">
        <f>Дума_партии[[#This Row],[Местоположение]]</f>
        <v>Заречье</v>
      </c>
      <c r="H173" s="2" t="str">
        <f>LEFT(Мособлдума_одномандатный_6[[#This Row],[tik]],4)&amp;"."&amp;IF(ISNUMBER(VALUE(RIGHT(Мособлдума_одномандатный_6[[#This Row],[tik]]))),RIGHT(Мособлдума_одномандатный_6[[#This Row],[tik]]),"")</f>
        <v>Один.2</v>
      </c>
      <c r="I173">
        <v>1277</v>
      </c>
      <c r="J173" s="8">
        <f>Мособлдума_одномандатный_6[[#This Row],[Число избирателей, внесенных в список на момент окончания голосования]]</f>
        <v>1277</v>
      </c>
      <c r="K173">
        <v>1000</v>
      </c>
      <c r="M173">
        <v>466</v>
      </c>
      <c r="N173">
        <v>52</v>
      </c>
      <c r="O173" s="3">
        <f t="shared" si="57"/>
        <v>40.563821456538761</v>
      </c>
      <c r="P173" s="3">
        <f t="shared" si="58"/>
        <v>4.0720438527799532</v>
      </c>
      <c r="Q173">
        <v>482</v>
      </c>
      <c r="R173">
        <v>52</v>
      </c>
      <c r="S173">
        <v>466</v>
      </c>
      <c r="T173" s="1">
        <f t="shared" si="59"/>
        <v>518</v>
      </c>
      <c r="U173" s="3">
        <f t="shared" si="60"/>
        <v>10.038610038610038</v>
      </c>
      <c r="V173">
        <v>27</v>
      </c>
      <c r="W173" s="3">
        <f t="shared" si="61"/>
        <v>5.2123552123552122</v>
      </c>
      <c r="X173">
        <v>491</v>
      </c>
      <c r="Y173">
        <v>0</v>
      </c>
      <c r="Z173">
        <v>0</v>
      </c>
      <c r="AA173">
        <v>97</v>
      </c>
      <c r="AB173" s="3">
        <f t="shared" si="62"/>
        <v>18.725868725868725</v>
      </c>
      <c r="AC173">
        <v>25</v>
      </c>
      <c r="AD173" s="3">
        <f t="shared" si="63"/>
        <v>4.8262548262548259</v>
      </c>
      <c r="AE173">
        <v>12</v>
      </c>
      <c r="AF173" s="3">
        <f t="shared" si="64"/>
        <v>2.3166023166023164</v>
      </c>
      <c r="AG173">
        <v>17</v>
      </c>
      <c r="AH173" s="3">
        <f t="shared" si="65"/>
        <v>3.281853281853282</v>
      </c>
      <c r="AI173">
        <v>248</v>
      </c>
      <c r="AJ173" s="3">
        <f t="shared" si="66"/>
        <v>47.876447876447877</v>
      </c>
      <c r="AK173">
        <v>23</v>
      </c>
      <c r="AL173" s="3">
        <f t="shared" si="55"/>
        <v>4.4401544401544397</v>
      </c>
      <c r="AM173">
        <v>69</v>
      </c>
      <c r="AN173" s="3">
        <f t="shared" si="67"/>
        <v>13.32046332046332</v>
      </c>
      <c r="AO173" t="s">
        <v>370</v>
      </c>
      <c r="AP173" s="72">
        <f>Дума_партии[[#This Row],[КОИБ]]</f>
        <v>2017</v>
      </c>
      <c r="AQ173" s="1" t="str">
        <f>IF(Дума_партии[[#This Row],[Наблюдателей]]=0,"",Дума_партии[[#This Row],[Наблюдателей]])</f>
        <v/>
      </c>
      <c r="AR173"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119.44036697247702</v>
      </c>
      <c r="AS173" s="10">
        <f>2*(Мособлдума_одномандатный_6[[#This Row],[Лазутина Лариса Евгеньевна]]-(AC$203/100)*Мособлдума_одномандатный_6[[#This Row],[Число действительных бюллетеней]])</f>
        <v>156.22799999999995</v>
      </c>
      <c r="AT173" s="10">
        <f>(Мособлдума_одномандатный_6[[#This Row],[Вброс]]+Мособлдума_одномандатный_6[[#This Row],[Перекладывание]])/2</f>
        <v>137.83418348623849</v>
      </c>
    </row>
    <row r="174" spans="2:46" x14ac:dyDescent="0.4">
      <c r="B174" t="s">
        <v>74</v>
      </c>
      <c r="C174" t="s">
        <v>366</v>
      </c>
      <c r="D174" t="s">
        <v>227</v>
      </c>
      <c r="E174" t="s">
        <v>302</v>
      </c>
      <c r="F174" s="1">
        <f t="shared" ca="1" si="56"/>
        <v>2071</v>
      </c>
      <c r="G174" s="8" t="str">
        <f>Дума_партии[[#This Row],[Местоположение]]</f>
        <v>Заречье</v>
      </c>
      <c r="H174" s="2" t="str">
        <f>LEFT(Мособлдума_одномандатный_6[[#This Row],[tik]],4)&amp;"."&amp;IF(ISNUMBER(VALUE(RIGHT(Мособлдума_одномандатный_6[[#This Row],[tik]]))),RIGHT(Мособлдума_одномандатный_6[[#This Row],[tik]]),"")</f>
        <v>Один.2</v>
      </c>
      <c r="I174">
        <v>1094</v>
      </c>
      <c r="J174" s="8">
        <f>Мособлдума_одномандатный_6[[#This Row],[Число избирателей, внесенных в список на момент окончания голосования]]</f>
        <v>1094</v>
      </c>
      <c r="K174">
        <v>900</v>
      </c>
      <c r="M174">
        <v>270</v>
      </c>
      <c r="N174">
        <v>93</v>
      </c>
      <c r="O174" s="3">
        <f t="shared" si="57"/>
        <v>33.180987202925046</v>
      </c>
      <c r="P174" s="3">
        <f t="shared" si="58"/>
        <v>8.5009140767824505</v>
      </c>
      <c r="Q174">
        <v>537</v>
      </c>
      <c r="R174">
        <v>93</v>
      </c>
      <c r="S174">
        <v>270</v>
      </c>
      <c r="T174" s="1">
        <f t="shared" si="59"/>
        <v>363</v>
      </c>
      <c r="U174" s="3">
        <f t="shared" si="60"/>
        <v>25.619834710743802</v>
      </c>
      <c r="V174">
        <v>12</v>
      </c>
      <c r="W174" s="3">
        <f t="shared" si="61"/>
        <v>3.3057851239669422</v>
      </c>
      <c r="X174">
        <v>351</v>
      </c>
      <c r="Y174">
        <v>0</v>
      </c>
      <c r="Z174">
        <v>0</v>
      </c>
      <c r="AA174">
        <v>60</v>
      </c>
      <c r="AB174" s="3">
        <f t="shared" si="62"/>
        <v>16.528925619834709</v>
      </c>
      <c r="AC174">
        <v>12</v>
      </c>
      <c r="AD174" s="3">
        <f t="shared" si="63"/>
        <v>3.3057851239669422</v>
      </c>
      <c r="AE174">
        <v>18</v>
      </c>
      <c r="AF174" s="3">
        <f t="shared" si="64"/>
        <v>4.9586776859504136</v>
      </c>
      <c r="AG174">
        <v>24</v>
      </c>
      <c r="AH174" s="3">
        <f t="shared" si="65"/>
        <v>6.6115702479338845</v>
      </c>
      <c r="AI174">
        <v>179</v>
      </c>
      <c r="AJ174" s="3">
        <f t="shared" si="66"/>
        <v>49.311294765840223</v>
      </c>
      <c r="AK174">
        <v>16</v>
      </c>
      <c r="AL174" s="3">
        <f t="shared" si="55"/>
        <v>4.4077134986225897</v>
      </c>
      <c r="AM174">
        <v>42</v>
      </c>
      <c r="AN174" s="3">
        <f t="shared" si="67"/>
        <v>11.570247933884298</v>
      </c>
      <c r="AO174" t="s">
        <v>370</v>
      </c>
      <c r="AP174" s="72">
        <f>Дума_партии[[#This Row],[КОИБ]]</f>
        <v>2017</v>
      </c>
      <c r="AQ174" s="1" t="str">
        <f>IF(Дума_партии[[#This Row],[Наблюдателей]]=0,"",Дума_партии[[#This Row],[Наблюдателей]])</f>
        <v/>
      </c>
      <c r="AR174"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88.003058103975519</v>
      </c>
      <c r="AS174" s="10">
        <f>2*(Мособлдума_одномандатный_6[[#This Row],[Лазутина Лариса Евгеньевна]]-(AC$203/100)*Мособлдума_одномандатный_6[[#This Row],[Число действительных бюллетеней]])</f>
        <v>115.10799999999998</v>
      </c>
      <c r="AT174" s="10">
        <f>(Мособлдума_одномандатный_6[[#This Row],[Вброс]]+Мособлдума_одномандатный_6[[#This Row],[Перекладывание]])/2</f>
        <v>101.55552905198775</v>
      </c>
    </row>
    <row r="175" spans="2:46" x14ac:dyDescent="0.4">
      <c r="B175" t="s">
        <v>74</v>
      </c>
      <c r="C175" t="s">
        <v>366</v>
      </c>
      <c r="D175" t="s">
        <v>227</v>
      </c>
      <c r="E175" t="s">
        <v>303</v>
      </c>
      <c r="F175" s="1">
        <f t="shared" ca="1" si="56"/>
        <v>2072</v>
      </c>
      <c r="G175" s="8" t="str">
        <f>Дума_партии[[#This Row],[Местоположение]]</f>
        <v>Заречье</v>
      </c>
      <c r="H175" s="2" t="str">
        <f>LEFT(Мособлдума_одномандатный_6[[#This Row],[tik]],4)&amp;"."&amp;IF(ISNUMBER(VALUE(RIGHT(Мособлдума_одномандатный_6[[#This Row],[tik]]))),RIGHT(Мособлдума_одномандатный_6[[#This Row],[tik]]),"")</f>
        <v>Один.2</v>
      </c>
      <c r="I175">
        <v>1232</v>
      </c>
      <c r="J175" s="8">
        <f>Мособлдума_одномандатный_6[[#This Row],[Число избирателей, внесенных в список на момент окончания голосования]]</f>
        <v>1232</v>
      </c>
      <c r="K175">
        <v>1000</v>
      </c>
      <c r="M175">
        <v>373</v>
      </c>
      <c r="N175">
        <v>5</v>
      </c>
      <c r="O175" s="3">
        <f t="shared" si="57"/>
        <v>30.681818181818183</v>
      </c>
      <c r="P175" s="3">
        <f t="shared" si="58"/>
        <v>0.40584415584415584</v>
      </c>
      <c r="Q175">
        <v>622</v>
      </c>
      <c r="R175">
        <v>5</v>
      </c>
      <c r="S175">
        <v>373</v>
      </c>
      <c r="T175" s="1">
        <f t="shared" si="59"/>
        <v>378</v>
      </c>
      <c r="U175" s="3">
        <f t="shared" si="60"/>
        <v>1.3227513227513228</v>
      </c>
      <c r="V175">
        <v>30</v>
      </c>
      <c r="W175" s="3">
        <f t="shared" si="61"/>
        <v>7.9365079365079367</v>
      </c>
      <c r="X175">
        <v>348</v>
      </c>
      <c r="Y175">
        <v>0</v>
      </c>
      <c r="Z175">
        <v>0</v>
      </c>
      <c r="AA175">
        <v>62</v>
      </c>
      <c r="AB175" s="3">
        <f t="shared" si="62"/>
        <v>16.402116402116402</v>
      </c>
      <c r="AC175">
        <v>22</v>
      </c>
      <c r="AD175" s="3">
        <f t="shared" si="63"/>
        <v>5.8201058201058204</v>
      </c>
      <c r="AE175">
        <v>16</v>
      </c>
      <c r="AF175" s="3">
        <f t="shared" si="64"/>
        <v>4.2328042328042326</v>
      </c>
      <c r="AG175">
        <v>18</v>
      </c>
      <c r="AH175" s="3">
        <f t="shared" si="65"/>
        <v>4.7619047619047619</v>
      </c>
      <c r="AI175">
        <v>124</v>
      </c>
      <c r="AJ175" s="3">
        <f t="shared" si="66"/>
        <v>32.804232804232804</v>
      </c>
      <c r="AK175">
        <v>26</v>
      </c>
      <c r="AL175" s="3">
        <f t="shared" si="55"/>
        <v>6.8783068783068781</v>
      </c>
      <c r="AM175">
        <v>80</v>
      </c>
      <c r="AN175" s="3">
        <f t="shared" si="67"/>
        <v>21.164021164021165</v>
      </c>
      <c r="AO175" t="s">
        <v>370</v>
      </c>
      <c r="AP175" s="72">
        <f>Дума_партии[[#This Row],[КОИБ]]</f>
        <v>2017</v>
      </c>
      <c r="AQ175" s="1" t="str">
        <f>IF(Дума_партии[[#This Row],[Наблюдателей]]=0,"",Дума_партии[[#This Row],[Наблюдателей]])</f>
        <v/>
      </c>
      <c r="AR175"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5.4923547400611312</v>
      </c>
      <c r="AS175" s="10">
        <f>2*(Мособлдума_одномандатный_6[[#This Row],[Лазутина Лариса Евгеньевна]]-(AC$203/100)*Мособлдума_одномандатный_6[[#This Row],[Число действительных бюллетеней]])</f>
        <v>7.1839999999999691</v>
      </c>
      <c r="AT175" s="10">
        <f>(Мособлдума_одномандатный_6[[#This Row],[Вброс]]+Мособлдума_одномандатный_6[[#This Row],[Перекладывание]])/2</f>
        <v>6.3381773700305502</v>
      </c>
    </row>
    <row r="176" spans="2:46" x14ac:dyDescent="0.4">
      <c r="B176" t="s">
        <v>74</v>
      </c>
      <c r="C176" t="s">
        <v>366</v>
      </c>
      <c r="D176" t="s">
        <v>227</v>
      </c>
      <c r="E176" t="s">
        <v>304</v>
      </c>
      <c r="F176" s="1">
        <f t="shared" ca="1" si="56"/>
        <v>2073</v>
      </c>
      <c r="G176" s="8" t="str">
        <f>Дума_партии[[#This Row],[Местоположение]]</f>
        <v>Заречье</v>
      </c>
      <c r="H176" s="2" t="str">
        <f>LEFT(Мособлдума_одномандатный_6[[#This Row],[tik]],4)&amp;"."&amp;IF(ISNUMBER(VALUE(RIGHT(Мособлдума_одномандатный_6[[#This Row],[tik]]))),RIGHT(Мособлдума_одномандатный_6[[#This Row],[tik]]),"")</f>
        <v>Один.2</v>
      </c>
      <c r="I176">
        <v>1023</v>
      </c>
      <c r="J176" s="8">
        <f>Мособлдума_одномандатный_6[[#This Row],[Число избирателей, внесенных в список на момент окончания голосования]]</f>
        <v>1023</v>
      </c>
      <c r="K176">
        <v>900</v>
      </c>
      <c r="M176">
        <v>284</v>
      </c>
      <c r="N176">
        <v>75</v>
      </c>
      <c r="O176" s="3">
        <f t="shared" si="57"/>
        <v>35.09286412512219</v>
      </c>
      <c r="P176" s="3">
        <f t="shared" si="58"/>
        <v>7.3313782991202343</v>
      </c>
      <c r="Q176">
        <v>541</v>
      </c>
      <c r="R176">
        <v>75</v>
      </c>
      <c r="S176">
        <v>284</v>
      </c>
      <c r="T176" s="1">
        <f t="shared" si="59"/>
        <v>359</v>
      </c>
      <c r="U176" s="3">
        <f t="shared" si="60"/>
        <v>20.891364902506965</v>
      </c>
      <c r="V176">
        <v>17</v>
      </c>
      <c r="W176" s="3">
        <f t="shared" si="61"/>
        <v>4.7353760445682456</v>
      </c>
      <c r="X176">
        <v>342</v>
      </c>
      <c r="Y176">
        <v>0</v>
      </c>
      <c r="Z176">
        <v>0</v>
      </c>
      <c r="AA176">
        <v>68</v>
      </c>
      <c r="AB176" s="3">
        <f t="shared" si="62"/>
        <v>18.941504178272982</v>
      </c>
      <c r="AC176">
        <v>28</v>
      </c>
      <c r="AD176" s="3">
        <f t="shared" si="63"/>
        <v>7.7994428969359335</v>
      </c>
      <c r="AE176">
        <v>11</v>
      </c>
      <c r="AF176" s="3">
        <f t="shared" si="64"/>
        <v>3.0640668523676879</v>
      </c>
      <c r="AG176">
        <v>10</v>
      </c>
      <c r="AH176" s="3">
        <f t="shared" si="65"/>
        <v>2.785515320334262</v>
      </c>
      <c r="AI176">
        <v>128</v>
      </c>
      <c r="AJ176" s="3">
        <f t="shared" si="66"/>
        <v>35.654596100278553</v>
      </c>
      <c r="AK176">
        <v>25</v>
      </c>
      <c r="AL176" s="3">
        <f t="shared" si="55"/>
        <v>6.9637883008356543</v>
      </c>
      <c r="AM176">
        <v>72</v>
      </c>
      <c r="AN176" s="3">
        <f t="shared" si="67"/>
        <v>20.055710306406684</v>
      </c>
      <c r="AO176" t="s">
        <v>370</v>
      </c>
      <c r="AP176" s="72">
        <f>Дума_партии[[#This Row],[КОИБ]]</f>
        <v>2017</v>
      </c>
      <c r="AQ176" s="1" t="str">
        <f>IF(Дума_партии[[#This Row],[Наблюдателей]]=0,"",Дума_партии[[#This Row],[Наблюдателей]])</f>
        <v/>
      </c>
      <c r="AR176"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14.782874617736979</v>
      </c>
      <c r="AS176" s="10">
        <f>2*(Мособлдума_одномандатный_6[[#This Row],[Лазутина Лариса Евгеньевна]]-(AC$203/100)*Мособлдума_одномандатный_6[[#This Row],[Число действительных бюллетеней]])</f>
        <v>19.335999999999984</v>
      </c>
      <c r="AT176" s="10">
        <f>(Мособлдума_одномандатный_6[[#This Row],[Вброс]]+Мособлдума_одномандатный_6[[#This Row],[Перекладывание]])/2</f>
        <v>17.059437308868482</v>
      </c>
    </row>
    <row r="177" spans="2:46" x14ac:dyDescent="0.4">
      <c r="B177" t="s">
        <v>74</v>
      </c>
      <c r="C177" t="s">
        <v>366</v>
      </c>
      <c r="D177" t="s">
        <v>227</v>
      </c>
      <c r="E177" t="s">
        <v>305</v>
      </c>
      <c r="F177" s="1">
        <f t="shared" ca="1" si="56"/>
        <v>3940</v>
      </c>
      <c r="G177" s="8" t="str">
        <f>Дума_партии[[#This Row],[Местоположение]]</f>
        <v>Новоивановское</v>
      </c>
      <c r="H177" s="2" t="str">
        <f>LEFT(Мособлдума_одномандатный_6[[#This Row],[tik]],4)&amp;"."&amp;IF(ISNUMBER(VALUE(RIGHT(Мособлдума_одномандатный_6[[#This Row],[tik]]))),RIGHT(Мособлдума_одномандатный_6[[#This Row],[tik]]),"")</f>
        <v>Один.2</v>
      </c>
      <c r="I177">
        <v>1695</v>
      </c>
      <c r="J177" s="8">
        <f>Мособлдума_одномандатный_6[[#This Row],[Число избирателей, внесенных в список на момент окончания голосования]]</f>
        <v>1695</v>
      </c>
      <c r="K177">
        <v>1500</v>
      </c>
      <c r="M177">
        <v>560</v>
      </c>
      <c r="N177">
        <v>67</v>
      </c>
      <c r="O177" s="3">
        <f t="shared" si="57"/>
        <v>36.991150442477874</v>
      </c>
      <c r="P177" s="3">
        <f t="shared" si="58"/>
        <v>3.9528023598820057</v>
      </c>
      <c r="Q177">
        <v>872</v>
      </c>
      <c r="R177">
        <v>67</v>
      </c>
      <c r="S177">
        <v>493</v>
      </c>
      <c r="T177" s="1">
        <f t="shared" si="59"/>
        <v>560</v>
      </c>
      <c r="U177" s="3">
        <f t="shared" si="60"/>
        <v>11.964285714285714</v>
      </c>
      <c r="V177">
        <v>38</v>
      </c>
      <c r="W177" s="3">
        <f t="shared" si="61"/>
        <v>6.7857142857142856</v>
      </c>
      <c r="X177">
        <v>522</v>
      </c>
      <c r="Y177">
        <v>1</v>
      </c>
      <c r="Z177">
        <v>0</v>
      </c>
      <c r="AA177">
        <v>84</v>
      </c>
      <c r="AB177" s="3">
        <f t="shared" si="62"/>
        <v>15</v>
      </c>
      <c r="AC177">
        <v>21</v>
      </c>
      <c r="AD177" s="3">
        <f t="shared" si="63"/>
        <v>3.75</v>
      </c>
      <c r="AE177">
        <v>17</v>
      </c>
      <c r="AF177" s="3">
        <f t="shared" si="64"/>
        <v>3.0357142857142856</v>
      </c>
      <c r="AG177">
        <v>17</v>
      </c>
      <c r="AH177" s="3">
        <f t="shared" si="65"/>
        <v>3.0357142857142856</v>
      </c>
      <c r="AI177">
        <v>277</v>
      </c>
      <c r="AJ177" s="3">
        <f t="shared" si="66"/>
        <v>49.464285714285715</v>
      </c>
      <c r="AK177">
        <v>28</v>
      </c>
      <c r="AL177" s="3">
        <f t="shared" si="55"/>
        <v>5</v>
      </c>
      <c r="AM177">
        <v>78</v>
      </c>
      <c r="AN177" s="3">
        <f t="shared" si="67"/>
        <v>13.928571428571429</v>
      </c>
      <c r="AO177" t="s">
        <v>370</v>
      </c>
      <c r="AP177" s="72">
        <f>Дума_партии[[#This Row],[КОИБ]]</f>
        <v>2017</v>
      </c>
      <c r="AQ177" s="1" t="str">
        <f>IF(Дума_партии[[#This Row],[Наблюдателей]]=0,"",Дума_партии[[#This Row],[Наблюдателей]])</f>
        <v/>
      </c>
      <c r="AR177"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147.38226299694188</v>
      </c>
      <c r="AS177" s="10">
        <f>2*(Мособлдума_одномандатный_6[[#This Row],[Лазутина Лариса Евгеньевна]]-(AC$203/100)*Мособлдума_одномандатный_6[[#This Row],[Число действительных бюллетеней]])</f>
        <v>192.77599999999995</v>
      </c>
      <c r="AT177" s="10">
        <f>(Мособлдума_одномандатный_6[[#This Row],[Вброс]]+Мособлдума_одномандатный_6[[#This Row],[Перекладывание]])/2</f>
        <v>170.07913149847093</v>
      </c>
    </row>
    <row r="178" spans="2:46" x14ac:dyDescent="0.4">
      <c r="B178" t="s">
        <v>74</v>
      </c>
      <c r="C178" t="s">
        <v>366</v>
      </c>
      <c r="D178" t="s">
        <v>227</v>
      </c>
      <c r="E178" t="s">
        <v>306</v>
      </c>
      <c r="F178" s="1">
        <f t="shared" ca="1" si="56"/>
        <v>3941</v>
      </c>
      <c r="G178" s="8" t="str">
        <f>Дума_партии[[#This Row],[Местоположение]]</f>
        <v>Новоивановское</v>
      </c>
      <c r="H178" s="2" t="str">
        <f>LEFT(Мособлдума_одномандатный_6[[#This Row],[tik]],4)&amp;"."&amp;IF(ISNUMBER(VALUE(RIGHT(Мособлдума_одномандатный_6[[#This Row],[tik]]))),RIGHT(Мособлдума_одномандатный_6[[#This Row],[tik]]),"")</f>
        <v>Один.2</v>
      </c>
      <c r="I178">
        <v>1677</v>
      </c>
      <c r="J178" s="8">
        <f>Мособлдума_одномандатный_6[[#This Row],[Число избирателей, внесенных в список на момент окончания голосования]]</f>
        <v>1677</v>
      </c>
      <c r="K178">
        <v>1500</v>
      </c>
      <c r="M178">
        <v>693</v>
      </c>
      <c r="N178">
        <v>111</v>
      </c>
      <c r="O178" s="3">
        <f t="shared" si="57"/>
        <v>47.942754919499109</v>
      </c>
      <c r="P178" s="3">
        <f t="shared" si="58"/>
        <v>6.6189624329159216</v>
      </c>
      <c r="Q178">
        <v>696</v>
      </c>
      <c r="R178">
        <v>111</v>
      </c>
      <c r="S178">
        <v>692</v>
      </c>
      <c r="T178" s="1">
        <f t="shared" si="59"/>
        <v>803</v>
      </c>
      <c r="U178" s="3">
        <f t="shared" si="60"/>
        <v>13.823163138231632</v>
      </c>
      <c r="V178">
        <v>19</v>
      </c>
      <c r="W178" s="3">
        <f t="shared" si="61"/>
        <v>2.3661270236612704</v>
      </c>
      <c r="X178">
        <v>784</v>
      </c>
      <c r="Y178">
        <v>0</v>
      </c>
      <c r="Z178">
        <v>0</v>
      </c>
      <c r="AA178">
        <v>152</v>
      </c>
      <c r="AB178" s="3">
        <f t="shared" si="62"/>
        <v>18.929016189290163</v>
      </c>
      <c r="AC178">
        <v>29</v>
      </c>
      <c r="AD178" s="3">
        <f t="shared" si="63"/>
        <v>3.6114570361145701</v>
      </c>
      <c r="AE178">
        <v>21</v>
      </c>
      <c r="AF178" s="3">
        <f t="shared" si="64"/>
        <v>2.6151930261519301</v>
      </c>
      <c r="AG178">
        <v>29</v>
      </c>
      <c r="AH178" s="3">
        <f t="shared" si="65"/>
        <v>3.6114570361145701</v>
      </c>
      <c r="AI178">
        <v>336</v>
      </c>
      <c r="AJ178" s="3">
        <f t="shared" si="66"/>
        <v>41.843088418430881</v>
      </c>
      <c r="AK178">
        <v>38</v>
      </c>
      <c r="AL178" s="3">
        <f t="shared" si="55"/>
        <v>4.7322540473225407</v>
      </c>
      <c r="AM178">
        <v>179</v>
      </c>
      <c r="AN178" s="3">
        <f t="shared" si="67"/>
        <v>22.291407222914071</v>
      </c>
      <c r="AO178" t="s">
        <v>370</v>
      </c>
      <c r="AP178" s="72">
        <f>Дума_партии[[#This Row],[КОИБ]]</f>
        <v>2017</v>
      </c>
      <c r="AQ178" s="1" t="str">
        <f>IF(Дума_партии[[#This Row],[Наблюдателей]]=0,"",Дума_партии[[#This Row],[Наблюдателей]])</f>
        <v/>
      </c>
      <c r="AR178"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98.984709480122262</v>
      </c>
      <c r="AS178" s="10">
        <f>2*(Мособлдума_одномандатный_6[[#This Row],[Лазутина Лариса Евгеньевна]]-(AC$203/100)*Мособлдума_одномандатный_6[[#This Row],[Число действительных бюллетеней]])</f>
        <v>129.47199999999998</v>
      </c>
      <c r="AT178" s="10">
        <f>(Мособлдума_одномандатный_6[[#This Row],[Вброс]]+Мособлдума_одномандатный_6[[#This Row],[Перекладывание]])/2</f>
        <v>114.22835474006112</v>
      </c>
    </row>
    <row r="179" spans="2:46" x14ac:dyDescent="0.4">
      <c r="B179" t="s">
        <v>74</v>
      </c>
      <c r="C179" t="s">
        <v>366</v>
      </c>
      <c r="D179" t="s">
        <v>227</v>
      </c>
      <c r="E179" t="s">
        <v>307</v>
      </c>
      <c r="F179" s="1">
        <f t="shared" ca="1" si="56"/>
        <v>3943</v>
      </c>
      <c r="G179" s="8" t="str">
        <f>Дума_партии[[#This Row],[Местоположение]]</f>
        <v>Новоивановское</v>
      </c>
      <c r="H179" s="2" t="str">
        <f>LEFT(Мособлдума_одномандатный_6[[#This Row],[tik]],4)&amp;"."&amp;IF(ISNUMBER(VALUE(RIGHT(Мособлдума_одномандатный_6[[#This Row],[tik]]))),RIGHT(Мособлдума_одномандатный_6[[#This Row],[tik]]),"")</f>
        <v>Один.2</v>
      </c>
      <c r="I179">
        <v>2354</v>
      </c>
      <c r="J179" s="8">
        <f>Мособлдума_одномандатный_6[[#This Row],[Число избирателей, внесенных в список на момент окончания голосования]]</f>
        <v>2354</v>
      </c>
      <c r="K179">
        <v>2000</v>
      </c>
      <c r="M179">
        <v>1458</v>
      </c>
      <c r="N179">
        <v>6</v>
      </c>
      <c r="O179" s="3">
        <f t="shared" si="57"/>
        <v>62.192013593882756</v>
      </c>
      <c r="P179" s="3">
        <f t="shared" si="58"/>
        <v>0.25488530161427359</v>
      </c>
      <c r="Q179">
        <v>536</v>
      </c>
      <c r="R179">
        <v>6</v>
      </c>
      <c r="S179">
        <v>1458</v>
      </c>
      <c r="T179" s="1">
        <f t="shared" si="59"/>
        <v>1464</v>
      </c>
      <c r="U179" s="3">
        <f t="shared" si="60"/>
        <v>0.4098360655737705</v>
      </c>
      <c r="V179">
        <v>10</v>
      </c>
      <c r="W179" s="3">
        <f t="shared" si="61"/>
        <v>0.68306010928961747</v>
      </c>
      <c r="X179">
        <v>1454</v>
      </c>
      <c r="Y179">
        <v>0</v>
      </c>
      <c r="Z179">
        <v>0</v>
      </c>
      <c r="AA179">
        <v>134</v>
      </c>
      <c r="AB179" s="3">
        <f t="shared" si="62"/>
        <v>9.1530054644808736</v>
      </c>
      <c r="AC179">
        <v>24</v>
      </c>
      <c r="AD179" s="3">
        <f t="shared" si="63"/>
        <v>1.639344262295082</v>
      </c>
      <c r="AE179">
        <v>15</v>
      </c>
      <c r="AF179" s="3">
        <f t="shared" si="64"/>
        <v>1.0245901639344261</v>
      </c>
      <c r="AG179">
        <v>27</v>
      </c>
      <c r="AH179" s="3">
        <f t="shared" si="65"/>
        <v>1.8442622950819672</v>
      </c>
      <c r="AI179">
        <v>1085</v>
      </c>
      <c r="AJ179" s="3">
        <f t="shared" si="66"/>
        <v>74.112021857923494</v>
      </c>
      <c r="AK179">
        <v>52</v>
      </c>
      <c r="AL179" s="3">
        <f t="shared" si="55"/>
        <v>3.5519125683060109</v>
      </c>
      <c r="AM179">
        <v>117</v>
      </c>
      <c r="AN179" s="3">
        <f t="shared" si="67"/>
        <v>7.9918032786885247</v>
      </c>
      <c r="AO179" t="s">
        <v>370</v>
      </c>
      <c r="AP179" s="72" t="str">
        <f>Дума_партии[[#This Row],[КОИБ]]</f>
        <v>N</v>
      </c>
      <c r="AQ179" s="1" t="str">
        <f>IF(Дума_партии[[#This Row],[Наблюдателей]]=0,"",Дума_партии[[#This Row],[Наблюдателей]])</f>
        <v/>
      </c>
      <c r="AR179"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889.77981651376149</v>
      </c>
      <c r="AS179" s="10">
        <f>2*(Мособлдума_одномандатный_6[[#This Row],[Лазутина Лариса Евгеньевна]]-(AC$203/100)*Мособлдума_одномандатный_6[[#This Row],[Число действительных бюллетеней]])</f>
        <v>1163.8319999999999</v>
      </c>
      <c r="AT179" s="10">
        <f>(Мособлдума_одномандатный_6[[#This Row],[Вброс]]+Мособлдума_одномандатный_6[[#This Row],[Перекладывание]])/2</f>
        <v>1026.8059082568807</v>
      </c>
    </row>
    <row r="180" spans="2:46" x14ac:dyDescent="0.4">
      <c r="B180" t="s">
        <v>74</v>
      </c>
      <c r="C180" t="s">
        <v>366</v>
      </c>
      <c r="D180" t="s">
        <v>227</v>
      </c>
      <c r="E180" t="s">
        <v>308</v>
      </c>
      <c r="F180" s="1">
        <f t="shared" ca="1" si="56"/>
        <v>3944</v>
      </c>
      <c r="G180" s="8" t="str">
        <f>Дума_партии[[#This Row],[Местоположение]]</f>
        <v>Заречье</v>
      </c>
      <c r="H180" s="2" t="str">
        <f>LEFT(Мособлдума_одномандатный_6[[#This Row],[tik]],4)&amp;"."&amp;IF(ISNUMBER(VALUE(RIGHT(Мособлдума_одномандатный_6[[#This Row],[tik]]))),RIGHT(Мособлдума_одномандатный_6[[#This Row],[tik]]),"")</f>
        <v>Один.2</v>
      </c>
      <c r="I180">
        <v>1806</v>
      </c>
      <c r="J180" s="8">
        <f>Мособлдума_одномандатный_6[[#This Row],[Число избирателей, внесенных в список на момент окончания голосования]]</f>
        <v>1806</v>
      </c>
      <c r="K180">
        <v>1500</v>
      </c>
      <c r="M180">
        <v>318</v>
      </c>
      <c r="N180">
        <v>248</v>
      </c>
      <c r="O180" s="3">
        <f t="shared" si="57"/>
        <v>31.339977851605759</v>
      </c>
      <c r="P180" s="3">
        <f t="shared" si="58"/>
        <v>13.732004429678849</v>
      </c>
      <c r="Q180">
        <v>934</v>
      </c>
      <c r="R180">
        <v>248</v>
      </c>
      <c r="S180">
        <v>318</v>
      </c>
      <c r="T180" s="1">
        <f t="shared" si="59"/>
        <v>566</v>
      </c>
      <c r="U180" s="3">
        <f t="shared" si="60"/>
        <v>43.816254416961129</v>
      </c>
      <c r="V180">
        <v>19</v>
      </c>
      <c r="W180" s="3">
        <f t="shared" si="61"/>
        <v>3.3568904593639575</v>
      </c>
      <c r="X180">
        <v>547</v>
      </c>
      <c r="Y180">
        <v>0</v>
      </c>
      <c r="Z180">
        <v>0</v>
      </c>
      <c r="AA180">
        <v>69</v>
      </c>
      <c r="AB180" s="3">
        <f t="shared" si="62"/>
        <v>12.190812720848056</v>
      </c>
      <c r="AC180">
        <v>29</v>
      </c>
      <c r="AD180" s="3">
        <f t="shared" si="63"/>
        <v>5.1236749116607774</v>
      </c>
      <c r="AE180">
        <v>26</v>
      </c>
      <c r="AF180" s="3">
        <f t="shared" si="64"/>
        <v>4.5936395759717312</v>
      </c>
      <c r="AG180">
        <v>16</v>
      </c>
      <c r="AH180" s="3">
        <f t="shared" si="65"/>
        <v>2.8268551236749118</v>
      </c>
      <c r="AI180">
        <v>307</v>
      </c>
      <c r="AJ180" s="3">
        <f t="shared" si="66"/>
        <v>54.240282685512369</v>
      </c>
      <c r="AK180">
        <v>25</v>
      </c>
      <c r="AL180" s="3">
        <f t="shared" si="55"/>
        <v>4.4169611307420498</v>
      </c>
      <c r="AM180">
        <v>75</v>
      </c>
      <c r="AN180" s="3">
        <f t="shared" si="67"/>
        <v>13.250883392226148</v>
      </c>
      <c r="AO180" t="s">
        <v>370</v>
      </c>
      <c r="AP180" s="72">
        <f>Дума_партии[[#This Row],[КОИБ]]</f>
        <v>2017</v>
      </c>
      <c r="AQ180" s="1" t="str">
        <f>IF(Дума_партии[[#This Row],[Наблюдателей]]=0,"",Дума_партии[[#This Row],[Наблюдателей]])</f>
        <v/>
      </c>
      <c r="AR180"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180.02752293577979</v>
      </c>
      <c r="AS180" s="10">
        <f>2*(Мособлдума_одномандатный_6[[#This Row],[Лазутина Лариса Евгеньевна]]-(AC$203/100)*Мособлдума_одномандатный_6[[#This Row],[Число действительных бюллетеней]])</f>
        <v>235.47599999999994</v>
      </c>
      <c r="AT180" s="10">
        <f>(Мособлдума_одномандатный_6[[#This Row],[Вброс]]+Мособлдума_одномандатный_6[[#This Row],[Перекладывание]])/2</f>
        <v>207.75176146788988</v>
      </c>
    </row>
    <row r="181" spans="2:46" s="28" customFormat="1" x14ac:dyDescent="0.4">
      <c r="B181" s="28" t="s">
        <v>74</v>
      </c>
      <c r="C181" s="28" t="s">
        <v>366</v>
      </c>
      <c r="D181" s="28" t="s">
        <v>227</v>
      </c>
      <c r="E181" s="28" t="s">
        <v>309</v>
      </c>
      <c r="F181" s="28">
        <f t="shared" ca="1" si="56"/>
        <v>3946</v>
      </c>
      <c r="G181" s="29" t="str">
        <f>Дума_партии[[#This Row],[Местоположение]]</f>
        <v>Барвиха</v>
      </c>
      <c r="H181" s="43" t="str">
        <f>LEFT(Мособлдума_одномандатный_6[[#This Row],[tik]],4)&amp;"."&amp;IF(ISNUMBER(VALUE(RIGHT(Мособлдума_одномандатный_6[[#This Row],[tik]]))),RIGHT(Мособлдума_одномандатный_6[[#This Row],[tik]]),"")</f>
        <v>Один.2</v>
      </c>
      <c r="I181" s="28">
        <v>1294</v>
      </c>
      <c r="J181" s="29">
        <f>Мособлдума_одномандатный_6[[#This Row],[Число избирателей, внесенных в список на момент окончания голосования]]</f>
        <v>1294</v>
      </c>
      <c r="K181" s="28">
        <v>1000</v>
      </c>
      <c r="M181" s="28">
        <v>520</v>
      </c>
      <c r="N181" s="28">
        <v>10</v>
      </c>
      <c r="O181" s="30">
        <f t="shared" si="57"/>
        <v>40.958268933539415</v>
      </c>
      <c r="P181" s="30">
        <f t="shared" si="58"/>
        <v>0.77279752704791349</v>
      </c>
      <c r="Q181" s="28">
        <v>470</v>
      </c>
      <c r="R181" s="28">
        <v>10</v>
      </c>
      <c r="S181" s="28">
        <v>520</v>
      </c>
      <c r="T181" s="28">
        <f t="shared" si="59"/>
        <v>530</v>
      </c>
      <c r="U181" s="30">
        <f t="shared" si="60"/>
        <v>1.8867924528301887</v>
      </c>
      <c r="V181" s="28">
        <v>39</v>
      </c>
      <c r="W181" s="30">
        <f t="shared" si="61"/>
        <v>7.3584905660377355</v>
      </c>
      <c r="X181" s="28">
        <v>491</v>
      </c>
      <c r="Y181" s="28">
        <v>0</v>
      </c>
      <c r="Z181" s="28">
        <v>0</v>
      </c>
      <c r="AA181" s="28">
        <v>95</v>
      </c>
      <c r="AB181" s="30">
        <f t="shared" si="62"/>
        <v>17.924528301886792</v>
      </c>
      <c r="AC181" s="28">
        <v>22</v>
      </c>
      <c r="AD181" s="30">
        <f t="shared" si="63"/>
        <v>4.1509433962264151</v>
      </c>
      <c r="AE181" s="28">
        <v>7</v>
      </c>
      <c r="AF181" s="30">
        <f t="shared" si="64"/>
        <v>1.320754716981132</v>
      </c>
      <c r="AG181" s="28">
        <v>8</v>
      </c>
      <c r="AH181" s="30">
        <f t="shared" si="65"/>
        <v>1.5094339622641511</v>
      </c>
      <c r="AI181" s="28">
        <v>118</v>
      </c>
      <c r="AJ181" s="30">
        <f t="shared" si="66"/>
        <v>22.264150943396228</v>
      </c>
      <c r="AK181" s="28">
        <v>30</v>
      </c>
      <c r="AL181" s="30">
        <f t="shared" si="55"/>
        <v>5.6603773584905657</v>
      </c>
      <c r="AM181" s="28">
        <v>211</v>
      </c>
      <c r="AN181" s="30">
        <f t="shared" si="67"/>
        <v>39.811320754716981</v>
      </c>
      <c r="AO181" s="28" t="s">
        <v>370</v>
      </c>
      <c r="AP181" s="74">
        <f>Дума_партии[[#This Row],[КОИБ]]</f>
        <v>2017</v>
      </c>
      <c r="AQ181" s="28">
        <f>IF(Дума_партии[[#This Row],[Наблюдателей]]=0,"",Дума_партии[[#This Row],[Наблюдателей]])</f>
        <v>3</v>
      </c>
      <c r="AR181" s="31">
        <f>Мособлдума_одномандатный_6[[#This Row],[Ходырев Андрей Геннадьевич]]-((AC$205/100)/(1-(AC$205/100)))*(Мособлдума_одномандатный_6[[#This Row],[Число действительных бюллетеней]]-Мособлдума_одномандатный_6[[#This Row],[Ходырев Андрей Геннадьевич]])</f>
        <v>128.3056994818653</v>
      </c>
      <c r="AS181" s="31">
        <f>2*(Мособлдума_одномандатный_6[[#This Row],[Ходырев Андрей Геннадьевич]]-(AC$205/100)*Мособлдума_одномандатный_6[[#This Row],[Число действительных бюллетеней]])</f>
        <v>198.10399999999998</v>
      </c>
      <c r="AT181" s="31">
        <f>(Мособлдума_одномандатный_6[[#This Row],[Вброс]]+Мособлдума_одномандатный_6[[#This Row],[Перекладывание]])/2</f>
        <v>163.20484974093264</v>
      </c>
    </row>
    <row r="182" spans="2:46" s="28" customFormat="1" x14ac:dyDescent="0.4">
      <c r="B182" s="28" t="s">
        <v>74</v>
      </c>
      <c r="C182" s="28" t="s">
        <v>366</v>
      </c>
      <c r="D182" s="28" t="s">
        <v>227</v>
      </c>
      <c r="E182" s="28" t="s">
        <v>310</v>
      </c>
      <c r="F182" s="28">
        <f t="shared" ca="1" si="56"/>
        <v>3947</v>
      </c>
      <c r="G182" s="29" t="str">
        <f>Дума_партии[[#This Row],[Местоположение]]</f>
        <v>Барвиха</v>
      </c>
      <c r="H182" s="43" t="str">
        <f>LEFT(Мособлдума_одномандатный_6[[#This Row],[tik]],4)&amp;"."&amp;IF(ISNUMBER(VALUE(RIGHT(Мособлдума_одномандатный_6[[#This Row],[tik]]))),RIGHT(Мособлдума_одномандатный_6[[#This Row],[tik]]),"")</f>
        <v>Один.2</v>
      </c>
      <c r="I182" s="28">
        <v>1658</v>
      </c>
      <c r="J182" s="29">
        <f>Мособлдума_одномандатный_6[[#This Row],[Число избирателей, внесенных в список на момент окончания голосования]]</f>
        <v>1658</v>
      </c>
      <c r="K182" s="28">
        <v>1400</v>
      </c>
      <c r="M182" s="28">
        <v>668</v>
      </c>
      <c r="N182" s="28">
        <v>23</v>
      </c>
      <c r="O182" s="30">
        <f t="shared" si="57"/>
        <v>41.6767189384801</v>
      </c>
      <c r="P182" s="30">
        <f t="shared" si="58"/>
        <v>1.3872135102533172</v>
      </c>
      <c r="Q182" s="28">
        <v>709</v>
      </c>
      <c r="R182" s="28">
        <v>23</v>
      </c>
      <c r="S182" s="28">
        <v>668</v>
      </c>
      <c r="T182" s="28">
        <f t="shared" si="59"/>
        <v>691</v>
      </c>
      <c r="U182" s="30">
        <f t="shared" si="60"/>
        <v>3.3285094066570187</v>
      </c>
      <c r="V182" s="28">
        <v>39</v>
      </c>
      <c r="W182" s="30">
        <f t="shared" si="61"/>
        <v>5.6439942112879882</v>
      </c>
      <c r="X182" s="28">
        <v>652</v>
      </c>
      <c r="Y182" s="28">
        <v>0</v>
      </c>
      <c r="Z182" s="28">
        <v>0</v>
      </c>
      <c r="AA182" s="28">
        <v>121</v>
      </c>
      <c r="AB182" s="30">
        <f t="shared" si="62"/>
        <v>17.510853835021706</v>
      </c>
      <c r="AC182" s="28">
        <v>22</v>
      </c>
      <c r="AD182" s="30">
        <f t="shared" si="63"/>
        <v>3.1837916063675831</v>
      </c>
      <c r="AE182" s="28">
        <v>15</v>
      </c>
      <c r="AF182" s="30">
        <f t="shared" si="64"/>
        <v>2.1707670043415339</v>
      </c>
      <c r="AG182" s="28">
        <v>9</v>
      </c>
      <c r="AH182" s="30">
        <f t="shared" si="65"/>
        <v>1.3024602026049203</v>
      </c>
      <c r="AI182" s="28">
        <v>158</v>
      </c>
      <c r="AJ182" s="30">
        <f t="shared" si="66"/>
        <v>22.865412445730826</v>
      </c>
      <c r="AK182" s="28">
        <v>30</v>
      </c>
      <c r="AL182" s="30">
        <f t="shared" si="55"/>
        <v>4.3415340086830678</v>
      </c>
      <c r="AM182" s="28">
        <v>297</v>
      </c>
      <c r="AN182" s="30">
        <f t="shared" si="67"/>
        <v>42.981186685962371</v>
      </c>
      <c r="AO182" s="28" t="s">
        <v>370</v>
      </c>
      <c r="AP182" s="74">
        <f>Дума_партии[[#This Row],[КОИБ]]</f>
        <v>2017</v>
      </c>
      <c r="AQ182" s="28">
        <f>IF(Дума_партии[[#This Row],[Наблюдателей]]=0,"",Дума_партии[[#This Row],[Наблюдателей]])</f>
        <v>4</v>
      </c>
      <c r="AR182" s="31">
        <f>Мособлдума_одномандатный_6[[#This Row],[Ходырев Андрей Геннадьевич]]-((AC$205/100)/(1-(AC$205/100)))*(Мособлдума_одномандатный_6[[#This Row],[Число действительных бюллетеней]]-Мособлдума_одномандатный_6[[#This Row],[Ходырев Андрей Геннадьевич]])</f>
        <v>192.15544041450778</v>
      </c>
      <c r="AS182" s="31">
        <f>2*(Мособлдума_одномандатный_6[[#This Row],[Ходырев Андрей Геннадьевич]]-(AC$205/100)*Мособлдума_одномандатный_6[[#This Row],[Число действительных бюллетеней]])</f>
        <v>296.68799999999999</v>
      </c>
      <c r="AT182" s="31">
        <f>(Мособлдума_одномандатный_6[[#This Row],[Вброс]]+Мособлдума_одномандатный_6[[#This Row],[Перекладывание]])/2</f>
        <v>244.42172020725388</v>
      </c>
    </row>
    <row r="183" spans="2:46" x14ac:dyDescent="0.4">
      <c r="B183" t="s">
        <v>74</v>
      </c>
      <c r="C183" t="s">
        <v>366</v>
      </c>
      <c r="D183" t="s">
        <v>227</v>
      </c>
      <c r="E183" t="s">
        <v>311</v>
      </c>
      <c r="F183" s="1">
        <f t="shared" ca="1" si="56"/>
        <v>3948</v>
      </c>
      <c r="G183" s="8" t="str">
        <f>Дума_партии[[#This Row],[Местоположение]]</f>
        <v>Барвиха</v>
      </c>
      <c r="H183" s="2" t="str">
        <f>LEFT(Мособлдума_одномандатный_6[[#This Row],[tik]],4)&amp;"."&amp;IF(ISNUMBER(VALUE(RIGHT(Мособлдума_одномандатный_6[[#This Row],[tik]]))),RIGHT(Мособлдума_одномандатный_6[[#This Row],[tik]]),"")</f>
        <v>Один.2</v>
      </c>
      <c r="I183">
        <v>1068</v>
      </c>
      <c r="J183" s="8">
        <f>Мособлдума_одномандатный_6[[#This Row],[Число избирателей, внесенных в список на момент окончания голосования]]</f>
        <v>1068</v>
      </c>
      <c r="K183">
        <v>900</v>
      </c>
      <c r="M183">
        <v>230</v>
      </c>
      <c r="N183">
        <v>21</v>
      </c>
      <c r="O183" s="3">
        <f t="shared" si="57"/>
        <v>23.50187265917603</v>
      </c>
      <c r="P183" s="3">
        <f t="shared" si="58"/>
        <v>1.9662921348314606</v>
      </c>
      <c r="Q183">
        <v>649</v>
      </c>
      <c r="R183">
        <v>21</v>
      </c>
      <c r="S183">
        <v>230</v>
      </c>
      <c r="T183" s="1">
        <f t="shared" si="59"/>
        <v>251</v>
      </c>
      <c r="U183" s="3">
        <f t="shared" si="60"/>
        <v>8.3665338645418323</v>
      </c>
      <c r="V183">
        <v>4</v>
      </c>
      <c r="W183" s="3">
        <f t="shared" si="61"/>
        <v>1.593625498007968</v>
      </c>
      <c r="X183">
        <v>247</v>
      </c>
      <c r="Y183">
        <v>0</v>
      </c>
      <c r="Z183">
        <v>0</v>
      </c>
      <c r="AA183">
        <v>62</v>
      </c>
      <c r="AB183" s="3">
        <f t="shared" si="62"/>
        <v>24.701195219123505</v>
      </c>
      <c r="AC183">
        <v>12</v>
      </c>
      <c r="AD183" s="3">
        <f t="shared" si="63"/>
        <v>4.7808764940239046</v>
      </c>
      <c r="AE183">
        <v>3</v>
      </c>
      <c r="AF183" s="3">
        <f t="shared" si="64"/>
        <v>1.1952191235059761</v>
      </c>
      <c r="AG183">
        <v>16</v>
      </c>
      <c r="AH183" s="3">
        <f t="shared" si="65"/>
        <v>6.3745019920318722</v>
      </c>
      <c r="AI183">
        <v>84</v>
      </c>
      <c r="AJ183" s="3">
        <f t="shared" si="66"/>
        <v>33.466135458167329</v>
      </c>
      <c r="AK183">
        <v>16</v>
      </c>
      <c r="AL183" s="3">
        <f t="shared" si="55"/>
        <v>6.3745019920318722</v>
      </c>
      <c r="AM183">
        <v>54</v>
      </c>
      <c r="AN183" s="3">
        <f t="shared" si="67"/>
        <v>21.513944223107568</v>
      </c>
      <c r="AO183" t="s">
        <v>370</v>
      </c>
      <c r="AP183" s="72">
        <f>Дума_партии[[#This Row],[КОИБ]]</f>
        <v>2017</v>
      </c>
      <c r="AQ183" s="1">
        <f>IF(Дума_партии[[#This Row],[Наблюдателей]]=0,"",Дума_партии[[#This Row],[Наблюдателей]])</f>
        <v>1</v>
      </c>
      <c r="AR183" s="10">
        <f>Мособлдума_одномандатный_6[[#This Row],[Лазутина Лариса Евгеньевна]]-((AC$203/100)/(1-(AC$203/100)))*(Мособлдума_одномандатный_6[[#This Row],[Число действительных бюллетеней]]-Мособлдума_одномандатный_6[[#This Row],[Лазутина Лариса Евгеньевна]])</f>
        <v>-2.2354740061162346</v>
      </c>
      <c r="AS183" s="10">
        <f>2*(Мособлдума_одномандатный_6[[#This Row],[Лазутина Лариса Евгеньевна]]-(AC$203/100)*Мособлдума_одномандатный_6[[#This Row],[Число действительных бюллетеней]])</f>
        <v>-2.9240000000000066</v>
      </c>
      <c r="AT183" s="10">
        <f>(Мособлдума_одномандатный_6[[#This Row],[Вброс]]+Мособлдума_одномандатный_6[[#This Row],[Перекладывание]])/2</f>
        <v>-2.5797370030581206</v>
      </c>
    </row>
    <row r="184" spans="2:46" x14ac:dyDescent="0.4">
      <c r="B184" s="1" t="s">
        <v>95</v>
      </c>
      <c r="F184" s="1">
        <f ca="1">SUBTOTAL(103,Мособлдума_одномандатный_6[УИК])</f>
        <v>157</v>
      </c>
      <c r="I184" s="1">
        <f>SUBTOTAL(109,Мособлдума_одномандатный_6[Число избирателей, внесенных в список на момент окончания голосования])</f>
        <v>275234</v>
      </c>
      <c r="M184" s="1">
        <f>SUBTOTAL(109,Мособлдума_одномандатный_6[Число бюллетеней, выданных избирателям в помещении для голосования в день голосования])</f>
        <v>94832</v>
      </c>
      <c r="N184" s="1">
        <f>SUBTOTAL(109,Мособлдума_одномандатный_6[Число бюллетеней, выданных избирателям, проголосовавшим вне помещения для голосования в день голосо])</f>
        <v>13096</v>
      </c>
      <c r="O184" s="1"/>
      <c r="P184" s="1"/>
      <c r="T184" s="1">
        <f>SUBTOTAL(109,Мособлдума_одномандатный_6[Обнаружено])</f>
        <v>106434</v>
      </c>
      <c r="U184" s="1"/>
      <c r="W184" s="1"/>
      <c r="X184" s="22">
        <f>SUBTOTAL(109,Мособлдума_одномандатный_6[Число действительных бюллетеней])</f>
        <v>100354</v>
      </c>
      <c r="AA184" s="1">
        <f>SUBTOTAL(109,Мособлдума_одномандатный_6[Водонаев Станислав Юрьевич])</f>
        <v>19903</v>
      </c>
      <c r="AB184" s="1"/>
      <c r="AC184" s="1">
        <f>SUBTOTAL(109,Мособлдума_одномандатный_6[Горбанов Андрей Павлович])</f>
        <v>4207</v>
      </c>
      <c r="AD184" s="1"/>
      <c r="AE184" s="1">
        <f>SUBTOTAL(109,Мособлдума_одномандатный_6[Григорьев Антон Юрьевич])</f>
        <v>2926</v>
      </c>
      <c r="AF184" s="1"/>
      <c r="AG184" s="1">
        <f>SUBTOTAL(109,Мособлдума_одномандатный_6[Дуленков Алексей Николаевич])</f>
        <v>3368</v>
      </c>
      <c r="AH184" s="1"/>
      <c r="AI184" s="1">
        <f>SUBTOTAL(109,Мособлдума_одномандатный_6[Лазутина Лариса Евгеньевна])</f>
        <v>44392</v>
      </c>
      <c r="AJ184" s="1"/>
      <c r="AK184" s="10">
        <f>SUBTOTAL(109,Мособлдума_одномандатный_6[Сидоров Владимир Фёдорович])</f>
        <v>6773</v>
      </c>
      <c r="AL184" s="1"/>
      <c r="AM184" s="1">
        <f>SUBTOTAL(109,Мособлдума_одномандатный_6[Ходырев Андрей Геннадьевич])</f>
        <v>18785</v>
      </c>
      <c r="AN184" s="1"/>
      <c r="AP184">
        <f>SUBTOTAL(102,Мособлдума_одномандатный_6[КОИБ])</f>
        <v>126</v>
      </c>
      <c r="AQ184" s="1">
        <f>SUBTOTAL(102,Мособлдума_одномандатный_6[Наблюдателей])</f>
        <v>31</v>
      </c>
      <c r="AR184" s="69">
        <f>SUBTOTAL(109,Мособлдума_одномандатный_6[Вброс])</f>
        <v>15288.341873841327</v>
      </c>
      <c r="AS184" s="69">
        <f>SUBTOTAL(109,Мособлдума_одномандатный_6[Перекладывание])</f>
        <v>20072.779999999988</v>
      </c>
      <c r="AT184" s="69">
        <f>SUBTOTAL(109,Мособлдума_одномандатный_6[Оценка числа бюллетеней, сфальсифицированных в пользу ЕР])</f>
        <v>17680.560936920658</v>
      </c>
    </row>
    <row r="185" spans="2:46" x14ac:dyDescent="0.4">
      <c r="B185" s="3"/>
      <c r="C185" s="3"/>
      <c r="D185" s="3"/>
      <c r="E185" s="3"/>
      <c r="F185" s="3"/>
      <c r="G185" s="3"/>
      <c r="H185" s="3"/>
      <c r="I185" s="3"/>
      <c r="J185" s="3"/>
      <c r="K185" s="3"/>
      <c r="L185" s="3"/>
      <c r="M185" s="3" t="s">
        <v>52</v>
      </c>
      <c r="N185" s="3">
        <f>100*(M184+N184)/I184</f>
        <v>39.213178604387537</v>
      </c>
      <c r="Q185" s="3"/>
      <c r="R185" s="3"/>
      <c r="S185" s="3"/>
      <c r="T185" s="3"/>
      <c r="V185" s="3"/>
      <c r="X185" s="3"/>
      <c r="Y185" s="3"/>
      <c r="Z185" s="3"/>
      <c r="AA185" s="3">
        <f>100*AA184/$T184</f>
        <v>18.699851551196048</v>
      </c>
      <c r="AC185" s="3">
        <f>100*AC184/$T184</f>
        <v>3.9526842926132626</v>
      </c>
      <c r="AE185" s="3">
        <f>100*AE184/$T184</f>
        <v>2.7491215213183757</v>
      </c>
      <c r="AG185" s="3">
        <f>100*AG184/$T184</f>
        <v>3.164402352631678</v>
      </c>
      <c r="AI185" s="3">
        <f>100*AI184/$T184</f>
        <v>41.708476614615627</v>
      </c>
      <c r="AK185" s="3">
        <f>100*AK184/$T184</f>
        <v>6.3635680327714832</v>
      </c>
      <c r="AM185" s="3">
        <f>100*AM184/$T184</f>
        <v>17.64943533081534</v>
      </c>
      <c r="AO185" s="3"/>
      <c r="AP185"/>
      <c r="AR185" s="3">
        <f>AR184*100/Мособлдума_одномандатный_6[[#Totals],[Лазутина Лариса Евгеньевна]]</f>
        <v>34.439407717249338</v>
      </c>
      <c r="AS185" s="3">
        <f>AS184*100/Мособлдума_одномандатный_6[[#Totals],[Лазутина Лариса Евгеньевна]]</f>
        <v>45.217111191205596</v>
      </c>
      <c r="AT185" s="3">
        <f>AT184*100/Мособлдума_одномандатный_6[[#Totals],[Лазутина Лариса Евгеньевна]]</f>
        <v>39.828259454227464</v>
      </c>
    </row>
    <row r="186" spans="2:46" x14ac:dyDescent="0.4">
      <c r="B186" s="3"/>
      <c r="C186" s="3"/>
      <c r="D186" s="3"/>
      <c r="E186" s="3"/>
      <c r="F186" s="3"/>
      <c r="G186" s="3"/>
      <c r="H186" s="3"/>
      <c r="I186" s="3"/>
      <c r="J186" s="3"/>
      <c r="K186" s="3"/>
      <c r="L186" s="3"/>
      <c r="M186" s="3"/>
      <c r="N186" s="3"/>
      <c r="Q186" s="3"/>
      <c r="R186" s="3"/>
      <c r="S186" s="3"/>
      <c r="T186" s="3"/>
      <c r="V186" s="3"/>
      <c r="X186" s="3"/>
      <c r="Y186" s="3"/>
      <c r="Z186" s="3"/>
      <c r="AA186" s="3"/>
      <c r="AC186" s="3"/>
      <c r="AE186" s="3"/>
      <c r="AG186" s="3"/>
      <c r="AI186" s="23">
        <f>100*AI184/$X184</f>
        <v>44.235406660422107</v>
      </c>
      <c r="AM186" s="23">
        <f>100*AM184/$X184</f>
        <v>18.718735675707993</v>
      </c>
      <c r="AO186" s="3"/>
      <c r="AP186" s="6"/>
      <c r="AR186" s="70" t="s">
        <v>447</v>
      </c>
      <c r="AS186" s="70"/>
      <c r="AT186" s="70"/>
    </row>
    <row r="202" spans="28:29" x14ac:dyDescent="0.4">
      <c r="AB202" s="1" t="s">
        <v>365</v>
      </c>
    </row>
    <row r="203" spans="28:29" x14ac:dyDescent="0.4">
      <c r="AB203" s="3">
        <v>32.4</v>
      </c>
      <c r="AC203" s="27">
        <v>34.6</v>
      </c>
    </row>
    <row r="204" spans="28:29" x14ac:dyDescent="0.4">
      <c r="AB204" s="1" t="s">
        <v>384</v>
      </c>
      <c r="AC204" s="9"/>
    </row>
    <row r="205" spans="28:29" x14ac:dyDescent="0.4">
      <c r="AB205" s="3">
        <v>21.4</v>
      </c>
      <c r="AC205" s="27">
        <v>22.8</v>
      </c>
    </row>
    <row r="206" spans="28:29" x14ac:dyDescent="0.4">
      <c r="AB206" s="1"/>
    </row>
    <row r="207" spans="28:29" x14ac:dyDescent="0.4">
      <c r="AB207" s="1"/>
    </row>
    <row r="208" spans="28:29" x14ac:dyDescent="0.4">
      <c r="AB208" s="1"/>
    </row>
    <row r="209" spans="28:28" x14ac:dyDescent="0.4">
      <c r="AB209" s="1"/>
    </row>
    <row r="210" spans="28:28" x14ac:dyDescent="0.4">
      <c r="AB210" s="1"/>
    </row>
    <row r="211" spans="28:28" x14ac:dyDescent="0.4">
      <c r="AB211" s="1"/>
    </row>
    <row r="212" spans="28:28" x14ac:dyDescent="0.4">
      <c r="AB212" s="1"/>
    </row>
    <row r="213" spans="28:28" x14ac:dyDescent="0.4">
      <c r="AB213" s="1"/>
    </row>
    <row r="214" spans="28:28" x14ac:dyDescent="0.4">
      <c r="AB214" s="1"/>
    </row>
    <row r="215" spans="28:28" x14ac:dyDescent="0.4">
      <c r="AB215" s="1"/>
    </row>
    <row r="216" spans="28:28" x14ac:dyDescent="0.4">
      <c r="AB216" s="1"/>
    </row>
    <row r="217" spans="28:28" x14ac:dyDescent="0.4">
      <c r="AB217" s="1"/>
    </row>
    <row r="218" spans="28:28" x14ac:dyDescent="0.4">
      <c r="AB218" s="1"/>
    </row>
    <row r="219" spans="28:28" x14ac:dyDescent="0.4">
      <c r="AB219" s="1"/>
    </row>
    <row r="220" spans="28:28" x14ac:dyDescent="0.4">
      <c r="AB220" s="1"/>
    </row>
    <row r="221" spans="28:28" x14ac:dyDescent="0.4">
      <c r="AB221" s="1" t="s">
        <v>127</v>
      </c>
    </row>
    <row r="222" spans="28:28" x14ac:dyDescent="0.4">
      <c r="AB222" s="1">
        <f>MAX(MAX($J2:$J183),MAX('Мособлдума одномандатный №13'!$J2:$J183))*2</f>
        <v>6044</v>
      </c>
    </row>
  </sheetData>
  <phoneticPr fontId="3" type="noConversion"/>
  <pageMargins left="0.7" right="0.7" top="0.75" bottom="0.75" header="0.3" footer="0.3"/>
  <pageSetup paperSize="9" orientation="portrait" horizontalDpi="4294967295" verticalDpi="4294967295"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7C1FF-D3C6-46CD-950C-D00E618E904A}">
  <dimension ref="A1:AR222"/>
  <sheetViews>
    <sheetView zoomScale="70" zoomScaleNormal="70" workbookViewId="0">
      <pane ySplit="1" topLeftCell="A48" activePane="bottomLeft" state="frozen"/>
      <selection pane="bottomLeft" activeCell="AP186" sqref="AP186"/>
    </sheetView>
  </sheetViews>
  <sheetFormatPr defaultRowHeight="14.15" x14ac:dyDescent="0.4"/>
  <cols>
    <col min="1" max="1" width="6.23046875" style="1" hidden="1" customWidth="1"/>
    <col min="2" max="5" width="6.3046875" style="1" hidden="1" customWidth="1"/>
    <col min="6" max="6" width="6.3046875" style="1" customWidth="1"/>
    <col min="7" max="7" width="16.765625" style="1" customWidth="1"/>
    <col min="8" max="8" width="7.3828125" style="1" customWidth="1"/>
    <col min="9" max="14" width="6.3046875" style="1" customWidth="1"/>
    <col min="15" max="16" width="6.3046875" style="3" customWidth="1"/>
    <col min="17" max="20" width="6.3046875" style="1" customWidth="1"/>
    <col min="21" max="21" width="6.3046875" style="3" customWidth="1"/>
    <col min="22" max="22" width="6.3046875" style="1" customWidth="1"/>
    <col min="23" max="23" width="6.3046875" style="3" customWidth="1"/>
    <col min="24" max="27" width="6.3046875" style="1" customWidth="1"/>
    <col min="28" max="28" width="6.3046875" style="3" customWidth="1"/>
    <col min="29" max="29" width="6.3046875" style="1" customWidth="1"/>
    <col min="30" max="30" width="6.3046875" style="3" customWidth="1"/>
    <col min="31" max="31" width="6.3046875" style="1" customWidth="1"/>
    <col min="32" max="32" width="6.3046875" style="3" customWidth="1"/>
    <col min="33" max="33" width="6.3046875" style="1" customWidth="1"/>
    <col min="34" max="34" width="6.3046875" style="3" customWidth="1"/>
    <col min="35" max="35" width="6.3046875" style="1" customWidth="1"/>
    <col min="36" max="36" width="6.3046875" style="3" customWidth="1"/>
    <col min="37" max="37" width="6.3046875" style="1" customWidth="1"/>
    <col min="38" max="38" width="6.3046875" style="3" customWidth="1"/>
    <col min="39" max="39" width="6.3046875" style="1" customWidth="1"/>
    <col min="40" max="40" width="6.3046875" style="75" customWidth="1"/>
    <col min="41" max="43" width="6.23046875" style="1" customWidth="1"/>
    <col min="44" max="16384" width="9.23046875" style="1"/>
  </cols>
  <sheetData>
    <row r="1" spans="2:44" x14ac:dyDescent="0.4">
      <c r="B1" s="1" t="s">
        <v>0</v>
      </c>
      <c r="C1" s="1" t="s">
        <v>2</v>
      </c>
      <c r="D1" s="1" t="s">
        <v>3</v>
      </c>
      <c r="E1" s="1" t="s">
        <v>4</v>
      </c>
      <c r="F1" s="5" t="s">
        <v>98</v>
      </c>
      <c r="G1" s="5" t="s">
        <v>99</v>
      </c>
      <c r="H1" s="5" t="s">
        <v>316</v>
      </c>
      <c r="I1" s="1" t="s">
        <v>53</v>
      </c>
      <c r="J1" s="1" t="s">
        <v>101</v>
      </c>
      <c r="K1" s="1" t="s">
        <v>54</v>
      </c>
      <c r="L1" s="1" t="s">
        <v>100</v>
      </c>
      <c r="M1" s="1" t="s">
        <v>55</v>
      </c>
      <c r="N1" s="1" t="s">
        <v>56</v>
      </c>
      <c r="O1" s="3" t="s">
        <v>10</v>
      </c>
      <c r="P1" s="3" t="s">
        <v>93</v>
      </c>
      <c r="Q1" s="1" t="s">
        <v>57</v>
      </c>
      <c r="R1" s="1" t="s">
        <v>58</v>
      </c>
      <c r="S1" s="1" t="s">
        <v>59</v>
      </c>
      <c r="T1" s="1" t="s">
        <v>15</v>
      </c>
      <c r="U1" s="7" t="s">
        <v>11</v>
      </c>
      <c r="V1" s="1" t="s">
        <v>60</v>
      </c>
      <c r="W1" s="7" t="s">
        <v>94</v>
      </c>
      <c r="X1" s="1" t="s">
        <v>61</v>
      </c>
      <c r="Y1" s="1" t="s">
        <v>62</v>
      </c>
      <c r="Z1" s="1" t="s">
        <v>63</v>
      </c>
      <c r="AA1" t="s">
        <v>105</v>
      </c>
      <c r="AB1" t="s">
        <v>106</v>
      </c>
      <c r="AC1" t="s">
        <v>107</v>
      </c>
      <c r="AD1" t="s">
        <v>108</v>
      </c>
      <c r="AE1" t="s">
        <v>109</v>
      </c>
      <c r="AF1" t="s">
        <v>110</v>
      </c>
      <c r="AG1" t="s">
        <v>111</v>
      </c>
      <c r="AH1" t="s">
        <v>112</v>
      </c>
      <c r="AI1" t="s">
        <v>83</v>
      </c>
      <c r="AJ1" t="s">
        <v>84</v>
      </c>
      <c r="AK1" t="s">
        <v>113</v>
      </c>
      <c r="AL1" t="s">
        <v>114</v>
      </c>
      <c r="AM1" s="1" t="s">
        <v>48</v>
      </c>
      <c r="AN1" s="75" t="s">
        <v>454</v>
      </c>
      <c r="AO1" s="12" t="s">
        <v>96</v>
      </c>
      <c r="AP1" s="11" t="s">
        <v>115</v>
      </c>
      <c r="AQ1" s="11" t="s">
        <v>116</v>
      </c>
      <c r="AR1" s="11" t="s">
        <v>117</v>
      </c>
    </row>
    <row r="2" spans="2:44" s="33" customFormat="1" hidden="1" x14ac:dyDescent="0.4">
      <c r="F2" s="34"/>
      <c r="G2" s="35"/>
      <c r="H2" s="34"/>
      <c r="J2" s="36"/>
      <c r="O2" s="37"/>
      <c r="P2" s="37"/>
      <c r="U2" s="38"/>
      <c r="W2" s="38"/>
      <c r="AB2" s="37"/>
      <c r="AD2" s="37"/>
      <c r="AF2" s="37"/>
      <c r="AH2" s="37"/>
      <c r="AJ2" s="37"/>
      <c r="AL2" s="37"/>
      <c r="AO2" s="34"/>
      <c r="AP2" s="39"/>
      <c r="AQ2" s="39"/>
      <c r="AR2" s="39"/>
    </row>
    <row r="3" spans="2:44" s="33" customFormat="1" hidden="1" x14ac:dyDescent="0.4">
      <c r="F3" s="34"/>
      <c r="G3" s="35"/>
      <c r="H3" s="34"/>
      <c r="J3" s="36"/>
      <c r="O3" s="37"/>
      <c r="P3" s="37"/>
      <c r="U3" s="38"/>
      <c r="W3" s="38"/>
      <c r="AB3" s="37"/>
      <c r="AD3" s="37"/>
      <c r="AF3" s="37"/>
      <c r="AH3" s="37"/>
      <c r="AJ3" s="37"/>
      <c r="AL3" s="37"/>
      <c r="AO3" s="34"/>
      <c r="AP3" s="39"/>
      <c r="AQ3" s="39"/>
      <c r="AR3" s="39"/>
    </row>
    <row r="4" spans="2:44" s="33" customFormat="1" hidden="1" x14ac:dyDescent="0.4">
      <c r="F4" s="34"/>
      <c r="G4" s="35"/>
      <c r="H4" s="34"/>
      <c r="J4" s="36"/>
      <c r="O4" s="37"/>
      <c r="P4" s="37"/>
      <c r="U4" s="38"/>
      <c r="W4" s="38"/>
      <c r="AB4" s="37"/>
      <c r="AD4" s="37"/>
      <c r="AF4" s="37"/>
      <c r="AH4" s="37"/>
      <c r="AJ4" s="37"/>
      <c r="AL4" s="37"/>
      <c r="AO4" s="34"/>
      <c r="AP4" s="39"/>
      <c r="AQ4" s="39"/>
      <c r="AR4" s="39"/>
    </row>
    <row r="5" spans="2:44" s="33" customFormat="1" hidden="1" x14ac:dyDescent="0.4">
      <c r="F5" s="34"/>
      <c r="G5" s="35"/>
      <c r="H5" s="34"/>
      <c r="J5" s="36"/>
      <c r="O5" s="37"/>
      <c r="P5" s="37"/>
      <c r="U5" s="38"/>
      <c r="W5" s="38"/>
      <c r="AB5" s="37"/>
      <c r="AD5" s="37"/>
      <c r="AF5" s="37"/>
      <c r="AH5" s="37"/>
      <c r="AJ5" s="37"/>
      <c r="AL5" s="37"/>
      <c r="AO5" s="34"/>
      <c r="AP5" s="39"/>
      <c r="AQ5" s="39"/>
      <c r="AR5" s="39"/>
    </row>
    <row r="6" spans="2:44" s="33" customFormat="1" hidden="1" x14ac:dyDescent="0.4">
      <c r="F6" s="34"/>
      <c r="G6" s="35"/>
      <c r="H6" s="34"/>
      <c r="J6" s="36"/>
      <c r="O6" s="37"/>
      <c r="P6" s="37"/>
      <c r="U6" s="38"/>
      <c r="W6" s="38"/>
      <c r="AB6" s="37"/>
      <c r="AD6" s="37"/>
      <c r="AF6" s="37"/>
      <c r="AH6" s="37"/>
      <c r="AJ6" s="37"/>
      <c r="AL6" s="37"/>
      <c r="AO6" s="34"/>
      <c r="AP6" s="39"/>
      <c r="AQ6" s="39"/>
      <c r="AR6" s="39"/>
    </row>
    <row r="7" spans="2:44" s="33" customFormat="1" hidden="1" x14ac:dyDescent="0.4">
      <c r="F7" s="34"/>
      <c r="G7" s="35"/>
      <c r="H7" s="34"/>
      <c r="J7" s="36"/>
      <c r="O7" s="37"/>
      <c r="P7" s="37"/>
      <c r="U7" s="38"/>
      <c r="W7" s="38"/>
      <c r="AB7" s="37"/>
      <c r="AD7" s="37"/>
      <c r="AF7" s="37"/>
      <c r="AH7" s="37"/>
      <c r="AJ7" s="37"/>
      <c r="AL7" s="37"/>
      <c r="AO7" s="34"/>
      <c r="AP7" s="39"/>
      <c r="AQ7" s="39"/>
      <c r="AR7" s="39"/>
    </row>
    <row r="8" spans="2:44" s="33" customFormat="1" hidden="1" x14ac:dyDescent="0.4">
      <c r="F8" s="34"/>
      <c r="G8" s="35"/>
      <c r="H8" s="34"/>
      <c r="J8" s="36"/>
      <c r="O8" s="37"/>
      <c r="P8" s="37"/>
      <c r="U8" s="38"/>
      <c r="W8" s="38"/>
      <c r="AB8" s="37"/>
      <c r="AD8" s="37"/>
      <c r="AF8" s="37"/>
      <c r="AH8" s="37"/>
      <c r="AJ8" s="37"/>
      <c r="AL8" s="37"/>
      <c r="AO8" s="34"/>
      <c r="AP8" s="39"/>
      <c r="AQ8" s="39"/>
      <c r="AR8" s="39"/>
    </row>
    <row r="9" spans="2:44" s="33" customFormat="1" hidden="1" x14ac:dyDescent="0.4">
      <c r="F9" s="34"/>
      <c r="G9" s="35"/>
      <c r="H9" s="34"/>
      <c r="J9" s="36"/>
      <c r="O9" s="37"/>
      <c r="P9" s="37"/>
      <c r="U9" s="38"/>
      <c r="W9" s="38"/>
      <c r="AB9" s="37"/>
      <c r="AD9" s="37"/>
      <c r="AF9" s="37"/>
      <c r="AH9" s="37"/>
      <c r="AJ9" s="37"/>
      <c r="AL9" s="37"/>
      <c r="AO9" s="34"/>
      <c r="AP9" s="39"/>
      <c r="AQ9" s="39"/>
      <c r="AR9" s="39"/>
    </row>
    <row r="10" spans="2:44" s="33" customFormat="1" hidden="1" x14ac:dyDescent="0.4">
      <c r="F10" s="34"/>
      <c r="G10" s="35"/>
      <c r="H10" s="34"/>
      <c r="J10" s="36"/>
      <c r="O10" s="37"/>
      <c r="P10" s="37"/>
      <c r="U10" s="38"/>
      <c r="W10" s="38"/>
      <c r="AB10" s="37"/>
      <c r="AD10" s="37"/>
      <c r="AF10" s="37"/>
      <c r="AH10" s="37"/>
      <c r="AJ10" s="37"/>
      <c r="AL10" s="37"/>
      <c r="AO10" s="34"/>
      <c r="AP10" s="39"/>
      <c r="AQ10" s="39"/>
      <c r="AR10" s="39"/>
    </row>
    <row r="11" spans="2:44" s="33" customFormat="1" hidden="1" x14ac:dyDescent="0.4">
      <c r="F11" s="34"/>
      <c r="G11" s="35"/>
      <c r="H11" s="34"/>
      <c r="J11" s="36"/>
      <c r="O11" s="37"/>
      <c r="P11" s="37"/>
      <c r="U11" s="38"/>
      <c r="W11" s="38"/>
      <c r="AB11" s="37"/>
      <c r="AD11" s="37"/>
      <c r="AF11" s="37"/>
      <c r="AH11" s="37"/>
      <c r="AJ11" s="37"/>
      <c r="AL11" s="37"/>
      <c r="AO11" s="34"/>
      <c r="AP11" s="39"/>
      <c r="AQ11" s="39"/>
      <c r="AR11" s="39"/>
    </row>
    <row r="12" spans="2:44" s="33" customFormat="1" hidden="1" x14ac:dyDescent="0.4">
      <c r="F12" s="34"/>
      <c r="G12" s="35"/>
      <c r="H12" s="34"/>
      <c r="J12" s="36"/>
      <c r="O12" s="37"/>
      <c r="P12" s="37"/>
      <c r="U12" s="38"/>
      <c r="W12" s="38"/>
      <c r="AB12" s="37"/>
      <c r="AD12" s="37"/>
      <c r="AF12" s="37"/>
      <c r="AH12" s="37"/>
      <c r="AJ12" s="37"/>
      <c r="AL12" s="37"/>
      <c r="AO12" s="34"/>
      <c r="AP12" s="39"/>
      <c r="AQ12" s="39"/>
      <c r="AR12" s="39"/>
    </row>
    <row r="13" spans="2:44" s="33" customFormat="1" hidden="1" x14ac:dyDescent="0.4">
      <c r="F13" s="34"/>
      <c r="G13" s="35"/>
      <c r="H13" s="34"/>
      <c r="J13" s="36"/>
      <c r="O13" s="37"/>
      <c r="P13" s="37"/>
      <c r="U13" s="38"/>
      <c r="W13" s="38"/>
      <c r="AB13" s="37"/>
      <c r="AD13" s="37"/>
      <c r="AF13" s="37"/>
      <c r="AH13" s="37"/>
      <c r="AJ13" s="37"/>
      <c r="AL13" s="37"/>
      <c r="AO13" s="34"/>
      <c r="AP13" s="39"/>
      <c r="AQ13" s="39"/>
      <c r="AR13" s="39"/>
    </row>
    <row r="14" spans="2:44" s="33" customFormat="1" hidden="1" x14ac:dyDescent="0.4">
      <c r="F14" s="34"/>
      <c r="G14" s="35"/>
      <c r="H14" s="34"/>
      <c r="J14" s="36"/>
      <c r="O14" s="37"/>
      <c r="P14" s="37"/>
      <c r="U14" s="38"/>
      <c r="W14" s="38"/>
      <c r="AB14" s="37"/>
      <c r="AD14" s="37"/>
      <c r="AF14" s="37"/>
      <c r="AH14" s="37"/>
      <c r="AJ14" s="37"/>
      <c r="AL14" s="37"/>
      <c r="AO14" s="34"/>
      <c r="AP14" s="39"/>
      <c r="AQ14" s="39"/>
      <c r="AR14" s="39"/>
    </row>
    <row r="15" spans="2:44" s="33" customFormat="1" hidden="1" x14ac:dyDescent="0.4">
      <c r="F15" s="34"/>
      <c r="G15" s="35"/>
      <c r="H15" s="34"/>
      <c r="J15" s="36"/>
      <c r="O15" s="37"/>
      <c r="P15" s="37"/>
      <c r="U15" s="38"/>
      <c r="W15" s="38"/>
      <c r="AB15" s="37"/>
      <c r="AD15" s="37"/>
      <c r="AF15" s="37"/>
      <c r="AH15" s="37"/>
      <c r="AJ15" s="37"/>
      <c r="AL15" s="37"/>
      <c r="AO15" s="34"/>
      <c r="AP15" s="39"/>
      <c r="AQ15" s="39"/>
      <c r="AR15" s="39"/>
    </row>
    <row r="16" spans="2:44" s="33" customFormat="1" hidden="1" x14ac:dyDescent="0.4">
      <c r="F16" s="34"/>
      <c r="G16" s="35"/>
      <c r="H16" s="34"/>
      <c r="J16" s="36"/>
      <c r="O16" s="37"/>
      <c r="P16" s="37"/>
      <c r="U16" s="38"/>
      <c r="W16" s="38"/>
      <c r="AB16" s="37"/>
      <c r="AD16" s="37"/>
      <c r="AF16" s="37"/>
      <c r="AH16" s="37"/>
      <c r="AJ16" s="37"/>
      <c r="AL16" s="37"/>
      <c r="AO16" s="34"/>
      <c r="AP16" s="39"/>
      <c r="AQ16" s="39"/>
      <c r="AR16" s="39"/>
    </row>
    <row r="17" spans="2:44" s="33" customFormat="1" hidden="1" x14ac:dyDescent="0.4">
      <c r="F17" s="34"/>
      <c r="G17" s="35"/>
      <c r="H17" s="34"/>
      <c r="J17" s="36"/>
      <c r="O17" s="37"/>
      <c r="P17" s="37"/>
      <c r="U17" s="38"/>
      <c r="W17" s="38"/>
      <c r="AB17" s="37"/>
      <c r="AD17" s="37"/>
      <c r="AF17" s="37"/>
      <c r="AH17" s="37"/>
      <c r="AJ17" s="37"/>
      <c r="AL17" s="37"/>
      <c r="AO17" s="34"/>
      <c r="AP17" s="39"/>
      <c r="AQ17" s="39"/>
      <c r="AR17" s="39"/>
    </row>
    <row r="18" spans="2:44" s="33" customFormat="1" hidden="1" x14ac:dyDescent="0.4">
      <c r="F18" s="34"/>
      <c r="G18" s="35"/>
      <c r="H18" s="34"/>
      <c r="J18" s="36"/>
      <c r="O18" s="37"/>
      <c r="P18" s="37"/>
      <c r="U18" s="38"/>
      <c r="W18" s="38"/>
      <c r="AB18" s="37"/>
      <c r="AD18" s="37"/>
      <c r="AF18" s="37"/>
      <c r="AH18" s="37"/>
      <c r="AJ18" s="37"/>
      <c r="AL18" s="37"/>
      <c r="AO18" s="34"/>
      <c r="AP18" s="39"/>
      <c r="AQ18" s="39"/>
      <c r="AR18" s="39"/>
    </row>
    <row r="19" spans="2:44" s="33" customFormat="1" hidden="1" x14ac:dyDescent="0.4">
      <c r="F19" s="34"/>
      <c r="G19" s="35"/>
      <c r="H19" s="34"/>
      <c r="J19" s="36"/>
      <c r="O19" s="37"/>
      <c r="P19" s="37"/>
      <c r="U19" s="38"/>
      <c r="W19" s="38"/>
      <c r="AB19" s="37"/>
      <c r="AD19" s="37"/>
      <c r="AF19" s="37"/>
      <c r="AH19" s="37"/>
      <c r="AJ19" s="37"/>
      <c r="AL19" s="37"/>
      <c r="AO19" s="34"/>
      <c r="AP19" s="39"/>
      <c r="AQ19" s="39"/>
      <c r="AR19" s="39"/>
    </row>
    <row r="20" spans="2:44" s="33" customFormat="1" hidden="1" x14ac:dyDescent="0.4">
      <c r="F20" s="34"/>
      <c r="G20" s="35"/>
      <c r="H20" s="34"/>
      <c r="J20" s="36"/>
      <c r="O20" s="37"/>
      <c r="P20" s="37"/>
      <c r="U20" s="38"/>
      <c r="W20" s="38"/>
      <c r="AB20" s="37"/>
      <c r="AD20" s="37"/>
      <c r="AF20" s="37"/>
      <c r="AH20" s="37"/>
      <c r="AJ20" s="37"/>
      <c r="AL20" s="37"/>
      <c r="AO20" s="34"/>
      <c r="AP20" s="39"/>
      <c r="AQ20" s="39"/>
      <c r="AR20" s="39"/>
    </row>
    <row r="21" spans="2:44" s="33" customFormat="1" hidden="1" x14ac:dyDescent="0.4">
      <c r="F21" s="34"/>
      <c r="G21" s="35"/>
      <c r="H21" s="34"/>
      <c r="J21" s="36"/>
      <c r="O21" s="37"/>
      <c r="P21" s="37"/>
      <c r="U21" s="38"/>
      <c r="W21" s="38"/>
      <c r="AB21" s="37"/>
      <c r="AD21" s="37"/>
      <c r="AF21" s="37"/>
      <c r="AH21" s="37"/>
      <c r="AJ21" s="37"/>
      <c r="AL21" s="37"/>
      <c r="AO21" s="34"/>
      <c r="AP21" s="39"/>
      <c r="AQ21" s="39"/>
      <c r="AR21" s="39"/>
    </row>
    <row r="22" spans="2:44" s="33" customFormat="1" hidden="1" x14ac:dyDescent="0.4">
      <c r="F22" s="34"/>
      <c r="G22" s="35"/>
      <c r="H22" s="34"/>
      <c r="J22" s="36"/>
      <c r="O22" s="37"/>
      <c r="P22" s="37"/>
      <c r="U22" s="38"/>
      <c r="W22" s="38"/>
      <c r="AB22" s="37"/>
      <c r="AD22" s="37"/>
      <c r="AF22" s="37"/>
      <c r="AH22" s="37"/>
      <c r="AJ22" s="37"/>
      <c r="AL22" s="37"/>
      <c r="AO22" s="34"/>
      <c r="AP22" s="39"/>
      <c r="AQ22" s="39"/>
      <c r="AR22" s="39"/>
    </row>
    <row r="23" spans="2:44" s="33" customFormat="1" hidden="1" x14ac:dyDescent="0.4">
      <c r="F23" s="34"/>
      <c r="G23" s="35"/>
      <c r="H23" s="34"/>
      <c r="J23" s="36"/>
      <c r="O23" s="37"/>
      <c r="P23" s="37"/>
      <c r="U23" s="38"/>
      <c r="W23" s="38"/>
      <c r="AB23" s="37"/>
      <c r="AD23" s="37"/>
      <c r="AF23" s="37"/>
      <c r="AH23" s="37"/>
      <c r="AJ23" s="37"/>
      <c r="AL23" s="37"/>
      <c r="AO23" s="34"/>
      <c r="AP23" s="39"/>
      <c r="AQ23" s="39"/>
      <c r="AR23" s="39"/>
    </row>
    <row r="24" spans="2:44" s="33" customFormat="1" hidden="1" x14ac:dyDescent="0.4">
      <c r="F24" s="34"/>
      <c r="G24" s="35"/>
      <c r="H24" s="34"/>
      <c r="J24" s="36"/>
      <c r="O24" s="37"/>
      <c r="P24" s="37"/>
      <c r="U24" s="38"/>
      <c r="W24" s="38"/>
      <c r="AB24" s="37"/>
      <c r="AD24" s="37"/>
      <c r="AF24" s="37"/>
      <c r="AH24" s="37"/>
      <c r="AJ24" s="37"/>
      <c r="AL24" s="37"/>
      <c r="AO24" s="34"/>
      <c r="AP24" s="39"/>
      <c r="AQ24" s="39"/>
      <c r="AR24" s="39"/>
    </row>
    <row r="25" spans="2:44" s="33" customFormat="1" hidden="1" x14ac:dyDescent="0.4">
      <c r="F25" s="34"/>
      <c r="G25" s="35"/>
      <c r="H25" s="34"/>
      <c r="J25" s="36"/>
      <c r="O25" s="37"/>
      <c r="P25" s="37"/>
      <c r="U25" s="38"/>
      <c r="W25" s="38"/>
      <c r="AB25" s="37"/>
      <c r="AD25" s="37"/>
      <c r="AF25" s="37"/>
      <c r="AH25" s="37"/>
      <c r="AJ25" s="37"/>
      <c r="AL25" s="37"/>
      <c r="AO25" s="34"/>
      <c r="AP25" s="39"/>
      <c r="AQ25" s="39"/>
      <c r="AR25" s="39"/>
    </row>
    <row r="26" spans="2:44" s="33" customFormat="1" hidden="1" x14ac:dyDescent="0.4">
      <c r="F26" s="34"/>
      <c r="G26" s="35"/>
      <c r="H26" s="34"/>
      <c r="J26" s="36"/>
      <c r="O26" s="37"/>
      <c r="P26" s="37"/>
      <c r="U26" s="38"/>
      <c r="W26" s="38"/>
      <c r="AB26" s="37"/>
      <c r="AD26" s="37"/>
      <c r="AF26" s="37"/>
      <c r="AH26" s="37"/>
      <c r="AJ26" s="37"/>
      <c r="AL26" s="37"/>
      <c r="AO26" s="34"/>
      <c r="AP26" s="39"/>
      <c r="AQ26" s="39"/>
      <c r="AR26" s="39"/>
    </row>
    <row r="27" spans="2:44" s="33" customFormat="1" hidden="1" x14ac:dyDescent="0.4">
      <c r="F27" s="34"/>
      <c r="G27" s="35"/>
      <c r="H27" s="34"/>
      <c r="J27" s="36"/>
      <c r="O27" s="37"/>
      <c r="P27" s="37"/>
      <c r="U27" s="38"/>
      <c r="W27" s="38"/>
      <c r="AB27" s="37"/>
      <c r="AD27" s="37"/>
      <c r="AF27" s="37"/>
      <c r="AH27" s="37"/>
      <c r="AJ27" s="37"/>
      <c r="AL27" s="37"/>
      <c r="AO27" s="34"/>
      <c r="AP27" s="39"/>
      <c r="AQ27" s="39"/>
      <c r="AR27" s="39"/>
    </row>
    <row r="28" spans="2:44" x14ac:dyDescent="0.4">
      <c r="B28" t="s">
        <v>74</v>
      </c>
      <c r="C28" t="s">
        <v>102</v>
      </c>
      <c r="D28" t="s">
        <v>138</v>
      </c>
      <c r="E28" t="s">
        <v>156</v>
      </c>
      <c r="F28" s="2">
        <f t="shared" ref="F28:F36" ca="1" si="0">SUMPRODUCT(MID(0&amp;E28, LARGE(INDEX(ISNUMBER(--MID(E28, ROW(INDIRECT("1:"&amp;LEN(E28))), 1)) * ROW(INDIRECT("1:"&amp;LEN(E28))), 0), ROW(INDIRECT("1:"&amp;LEN(E28))))+1, 1) * 10^ROW(INDIRECT("1:"&amp;LEN(E28)))/10)</f>
        <v>2058</v>
      </c>
      <c r="G28" s="2" t="str">
        <f>Дума_партии[[#This Row],[Местоположение]]</f>
        <v>Голицыно</v>
      </c>
      <c r="H28" t="str">
        <f>LEFT(Мособлдума_одномандатный_13[[#This Row],[tik]],4)&amp;"."&amp;IF(ISNUMBER(VALUE(RIGHT(Мособлдума_одномандатный_13[[#This Row],[tik]]))),RIGHT(Мособлдума_одномандатный_13[[#This Row],[tik]]),"")</f>
        <v>Один.</v>
      </c>
      <c r="I28">
        <v>2016</v>
      </c>
      <c r="J28" s="1">
        <f>Мособлдума_одномандатный_13[[#This Row],[Число избирателей, внесенных в список на момент окончания голосования]]</f>
        <v>2016</v>
      </c>
      <c r="K28">
        <v>1500</v>
      </c>
      <c r="M28">
        <v>882</v>
      </c>
      <c r="N28">
        <v>23</v>
      </c>
      <c r="O28" s="3">
        <f t="shared" ref="O28" si="1">100*(M28+N28)/I28</f>
        <v>44.890873015873019</v>
      </c>
      <c r="P28" s="3">
        <f t="shared" ref="P28" si="2">100*N28/I28</f>
        <v>1.1408730158730158</v>
      </c>
      <c r="Q28">
        <v>595</v>
      </c>
      <c r="R28">
        <v>23</v>
      </c>
      <c r="S28">
        <v>882</v>
      </c>
      <c r="T28" s="1">
        <f>R28+S28</f>
        <v>905</v>
      </c>
      <c r="U28" s="3">
        <f>100*R28/T28</f>
        <v>2.541436464088398</v>
      </c>
      <c r="V28">
        <v>50</v>
      </c>
      <c r="W28" s="3">
        <f>100*V28/T28</f>
        <v>5.5248618784530388</v>
      </c>
      <c r="X28">
        <v>855</v>
      </c>
      <c r="Y28">
        <v>0</v>
      </c>
      <c r="Z28">
        <v>0</v>
      </c>
      <c r="AA28">
        <v>215</v>
      </c>
      <c r="AB28" s="3">
        <f>100*AA28/$T28</f>
        <v>23.756906077348066</v>
      </c>
      <c r="AC28">
        <v>73</v>
      </c>
      <c r="AD28" s="3">
        <f>100*AC28/$T28</f>
        <v>8.0662983425414367</v>
      </c>
      <c r="AE28">
        <v>124</v>
      </c>
      <c r="AF28" s="3">
        <f>100*AE28/$T28</f>
        <v>13.701657458563536</v>
      </c>
      <c r="AG28">
        <v>67</v>
      </c>
      <c r="AH28" s="3">
        <f>100*AG28/$T28</f>
        <v>7.403314917127072</v>
      </c>
      <c r="AI28">
        <v>72</v>
      </c>
      <c r="AJ28" s="3">
        <f>100*AI28/$T28</f>
        <v>7.9558011049723758</v>
      </c>
      <c r="AK28">
        <v>304</v>
      </c>
      <c r="AL28" s="3">
        <f>100*AK28/$T28</f>
        <v>33.591160220994475</v>
      </c>
      <c r="AM28" t="s">
        <v>369</v>
      </c>
      <c r="AN28" s="72">
        <f>Дума_партии[[#This Row],[КОИБ]]</f>
        <v>2017</v>
      </c>
      <c r="AO28" s="1" t="str">
        <f>IF(Дума_партии[[#This Row],[Наблюдателей]]=0,"",Дума_партии[[#This Row],[Наблюдателей]])</f>
        <v/>
      </c>
      <c r="AP28" s="10">
        <f>Мособлдума_одномандатный_13[[#This Row],[Рожнов Олег Александрович]]-((AC$203/100)/(1-(AC$203/100)))*(Мособлдума_одномандатный_13[[#This Row],[Число действительных бюллетеней]]-Мособлдума_одномандатный_13[[#This Row],[Рожнов Олег Александрович]])</f>
        <v>116.39410187667559</v>
      </c>
      <c r="AQ28" s="10">
        <f>2*(Мособлдума_одномандатный_13[[#This Row],[Рожнов Олег Александрович]]-(AC$203/100)*Мособлдума_одномандатный_13[[#This Row],[Число действительных бюллетеней]])</f>
        <v>173.65999999999997</v>
      </c>
      <c r="AR28" s="10">
        <f>(Мособлдума_одномандатный_13[[#This Row],[Вброс]]+Мособлдума_одномандатный_13[[#This Row],[Перекладывание]])/2</f>
        <v>145.02705093833777</v>
      </c>
    </row>
    <row r="29" spans="2:44" x14ac:dyDescent="0.4">
      <c r="B29" t="s">
        <v>74</v>
      </c>
      <c r="C29" t="s">
        <v>102</v>
      </c>
      <c r="D29" t="s">
        <v>138</v>
      </c>
      <c r="E29" t="s">
        <v>157</v>
      </c>
      <c r="F29" s="1">
        <f t="shared" ca="1" si="0"/>
        <v>2059</v>
      </c>
      <c r="G29" s="8" t="str">
        <f>Дума_партии[[#This Row],[Местоположение]]</f>
        <v>Голицыно</v>
      </c>
      <c r="H29" s="2" t="str">
        <f>LEFT(Мособлдума_одномандатный_13[[#This Row],[tik]],4)&amp;"."&amp;IF(ISNUMBER(VALUE(RIGHT(Мособлдума_одномандатный_13[[#This Row],[tik]]))),RIGHT(Мособлдума_одномандатный_13[[#This Row],[tik]]),"")</f>
        <v>Один.</v>
      </c>
      <c r="I29">
        <v>2330</v>
      </c>
      <c r="J29" s="8">
        <f>Мособлдума_одномандатный_13[[#This Row],[Число избирателей, внесенных в список на момент окончания голосования]]</f>
        <v>2330</v>
      </c>
      <c r="K29">
        <v>1800</v>
      </c>
      <c r="M29">
        <v>701</v>
      </c>
      <c r="N29">
        <v>9</v>
      </c>
      <c r="O29" s="3">
        <f t="shared" ref="O29:O98" si="3">100*(M29+N29)/I29</f>
        <v>30.472103004291846</v>
      </c>
      <c r="P29" s="3">
        <f t="shared" ref="P29:P98" si="4">100*N29/I29</f>
        <v>0.38626609442060084</v>
      </c>
      <c r="Q29">
        <v>1090</v>
      </c>
      <c r="R29">
        <v>9</v>
      </c>
      <c r="S29">
        <v>697</v>
      </c>
      <c r="T29" s="1">
        <f t="shared" ref="T29:T98" si="5">R29+S29</f>
        <v>706</v>
      </c>
      <c r="U29" s="3">
        <f t="shared" ref="U29:U98" si="6">100*R29/T29</f>
        <v>1.2747875354107649</v>
      </c>
      <c r="V29">
        <v>61</v>
      </c>
      <c r="W29" s="3">
        <f t="shared" ref="W29:W98" si="7">100*V29/T29</f>
        <v>8.640226628895185</v>
      </c>
      <c r="X29">
        <v>645</v>
      </c>
      <c r="Y29">
        <v>0</v>
      </c>
      <c r="Z29">
        <v>0</v>
      </c>
      <c r="AA29">
        <v>177</v>
      </c>
      <c r="AB29" s="3">
        <f t="shared" ref="AB29:AB98" si="8">100*AA29/$T29</f>
        <v>25.070821529745043</v>
      </c>
      <c r="AC29">
        <v>59</v>
      </c>
      <c r="AD29" s="3">
        <f t="shared" ref="AD29:AD98" si="9">100*AC29/$T29</f>
        <v>8.3569405099150149</v>
      </c>
      <c r="AE29">
        <v>84</v>
      </c>
      <c r="AF29" s="3">
        <f t="shared" ref="AF29:AF98" si="10">100*AE29/$T29</f>
        <v>11.898016997167138</v>
      </c>
      <c r="AG29">
        <v>47</v>
      </c>
      <c r="AH29" s="3">
        <f t="shared" ref="AH29:AH98" si="11">100*AG29/$T29</f>
        <v>6.6572237960339944</v>
      </c>
      <c r="AI29">
        <v>51</v>
      </c>
      <c r="AJ29" s="3">
        <f t="shared" ref="AJ29:AJ98" si="12">100*AI29/$T29</f>
        <v>7.2237960339943346</v>
      </c>
      <c r="AK29">
        <v>227</v>
      </c>
      <c r="AL29" s="3">
        <f t="shared" ref="AL29:AL98" si="13">100*AK29/$T29</f>
        <v>32.152974504249293</v>
      </c>
      <c r="AM29" t="s">
        <v>369</v>
      </c>
      <c r="AN29" s="72">
        <f>Дума_партии[[#This Row],[КОИБ]]</f>
        <v>2017</v>
      </c>
      <c r="AO29" s="1" t="str">
        <f>IF(Дума_партии[[#This Row],[Наблюдателей]]=0,"",Дума_партии[[#This Row],[Наблюдателей]])</f>
        <v/>
      </c>
      <c r="AP29" s="10">
        <f>Мособлдума_одномандатный_13[[#This Row],[Рожнов Олег Александрович]]-((AC$203/100)/(1-(AC$203/100)))*(Мособлдума_одномандатный_13[[#This Row],[Число действительных бюллетеней]]-Мособлдума_одномандатный_13[[#This Row],[Рожнов Олег Александрович]])</f>
        <v>84.678284182305617</v>
      </c>
      <c r="AQ29" s="10">
        <f>2*(Мособлдума_одномандатный_13[[#This Row],[Рожнов Олег Александрович]]-(AC$203/100)*Мособлдума_одномандатный_13[[#This Row],[Число действительных бюллетеней]])</f>
        <v>126.33999999999997</v>
      </c>
      <c r="AR29" s="10">
        <f>(Мособлдума_одномандатный_13[[#This Row],[Вброс]]+Мособлдума_одномандатный_13[[#This Row],[Перекладывание]])/2</f>
        <v>105.5091420911528</v>
      </c>
    </row>
    <row r="30" spans="2:44" x14ac:dyDescent="0.4">
      <c r="B30" t="s">
        <v>74</v>
      </c>
      <c r="C30" t="s">
        <v>102</v>
      </c>
      <c r="D30" t="s">
        <v>138</v>
      </c>
      <c r="E30" t="s">
        <v>158</v>
      </c>
      <c r="F30" s="1">
        <f t="shared" ca="1" si="0"/>
        <v>2061</v>
      </c>
      <c r="G30" s="8" t="str">
        <f>Дума_партии[[#This Row],[Местоположение]]</f>
        <v>Голицыно</v>
      </c>
      <c r="H30" s="2" t="str">
        <f>LEFT(Мособлдума_одномандатный_13[[#This Row],[tik]],4)&amp;"."&amp;IF(ISNUMBER(VALUE(RIGHT(Мособлдума_одномандатный_13[[#This Row],[tik]]))),RIGHT(Мособлдума_одномандатный_13[[#This Row],[tik]]),"")</f>
        <v>Один.</v>
      </c>
      <c r="I30">
        <v>1867</v>
      </c>
      <c r="J30" s="8">
        <f>Мособлдума_одномандатный_13[[#This Row],[Число избирателей, внесенных в список на момент окончания голосования]]</f>
        <v>1867</v>
      </c>
      <c r="K30">
        <v>1800</v>
      </c>
      <c r="M30">
        <v>699</v>
      </c>
      <c r="N30">
        <v>21</v>
      </c>
      <c r="O30" s="3">
        <f t="shared" si="3"/>
        <v>38.564542046063202</v>
      </c>
      <c r="P30" s="3">
        <f t="shared" si="4"/>
        <v>1.1247991430101767</v>
      </c>
      <c r="Q30">
        <v>1080</v>
      </c>
      <c r="R30">
        <v>20</v>
      </c>
      <c r="S30">
        <v>698</v>
      </c>
      <c r="T30" s="1">
        <f t="shared" si="5"/>
        <v>718</v>
      </c>
      <c r="U30" s="3">
        <f t="shared" si="6"/>
        <v>2.785515320334262</v>
      </c>
      <c r="V30">
        <v>59</v>
      </c>
      <c r="W30" s="3">
        <f t="shared" si="7"/>
        <v>8.2172701949860727</v>
      </c>
      <c r="X30">
        <v>659</v>
      </c>
      <c r="Y30">
        <v>0</v>
      </c>
      <c r="Z30">
        <v>0</v>
      </c>
      <c r="AA30">
        <v>169</v>
      </c>
      <c r="AB30" s="3">
        <f t="shared" si="8"/>
        <v>23.537604456824514</v>
      </c>
      <c r="AC30">
        <v>78</v>
      </c>
      <c r="AD30" s="3">
        <f t="shared" si="9"/>
        <v>10.863509749303621</v>
      </c>
      <c r="AE30">
        <v>82</v>
      </c>
      <c r="AF30" s="3">
        <f t="shared" si="10"/>
        <v>11.420612813370473</v>
      </c>
      <c r="AG30">
        <v>76</v>
      </c>
      <c r="AH30" s="3">
        <f t="shared" si="11"/>
        <v>10.584958217270195</v>
      </c>
      <c r="AI30">
        <v>49</v>
      </c>
      <c r="AJ30" s="3">
        <f t="shared" si="12"/>
        <v>6.8245125348189415</v>
      </c>
      <c r="AK30">
        <v>205</v>
      </c>
      <c r="AL30" s="3">
        <f t="shared" si="13"/>
        <v>28.551532033426184</v>
      </c>
      <c r="AM30" t="s">
        <v>369</v>
      </c>
      <c r="AN30" s="72">
        <f>Дума_партии[[#This Row],[КОИБ]]</f>
        <v>2017</v>
      </c>
      <c r="AO30" s="1" t="str">
        <f>IF(Дума_партии[[#This Row],[Наблюдателей]]=0,"",Дума_партии[[#This Row],[Наблюдателей]])</f>
        <v/>
      </c>
      <c r="AP30" s="10">
        <f>Мособлдума_одномандатный_13[[#This Row],[Рожнов Олег Александрович]]-((AC$203/100)/(1-(AC$203/100)))*(Мособлдума_одномандатный_13[[#This Row],[Число действительных бюллетеней]]-Мособлдума_одномандатный_13[[#This Row],[Рожнов Олег Александрович]])</f>
        <v>50.420911528150128</v>
      </c>
      <c r="AQ30" s="10">
        <f>2*(Мособлдума_одномандатный_13[[#This Row],[Рожнов Олег Александрович]]-(AC$203/100)*Мособлдума_одномандатный_13[[#This Row],[Число действительных бюллетеней]])</f>
        <v>75.228000000000009</v>
      </c>
      <c r="AR30" s="10">
        <f>(Мособлдума_одномандатный_13[[#This Row],[Вброс]]+Мособлдума_одномандатный_13[[#This Row],[Перекладывание]])/2</f>
        <v>62.824455764075068</v>
      </c>
    </row>
    <row r="31" spans="2:44" x14ac:dyDescent="0.4">
      <c r="B31" t="s">
        <v>74</v>
      </c>
      <c r="C31" t="s">
        <v>102</v>
      </c>
      <c r="D31" t="s">
        <v>138</v>
      </c>
      <c r="E31" t="s">
        <v>159</v>
      </c>
      <c r="F31" s="1">
        <f t="shared" ca="1" si="0"/>
        <v>2063</v>
      </c>
      <c r="G31" s="8" t="str">
        <f>Дума_партии[[#This Row],[Местоположение]]</f>
        <v>Голицыно</v>
      </c>
      <c r="H31" s="2" t="str">
        <f>LEFT(Мособлдума_одномандатный_13[[#This Row],[tik]],4)&amp;"."&amp;IF(ISNUMBER(VALUE(RIGHT(Мособлдума_одномандатный_13[[#This Row],[tik]]))),RIGHT(Мособлдума_одномандатный_13[[#This Row],[tik]]),"")</f>
        <v>Один.</v>
      </c>
      <c r="I31">
        <v>1777</v>
      </c>
      <c r="J31" s="8">
        <f>Мособлдума_одномандатный_13[[#This Row],[Число избирателей, внесенных в список на момент окончания голосования]]</f>
        <v>1777</v>
      </c>
      <c r="K31">
        <v>1500</v>
      </c>
      <c r="M31">
        <v>591</v>
      </c>
      <c r="N31">
        <v>13</v>
      </c>
      <c r="O31" s="3">
        <f t="shared" si="3"/>
        <v>33.989870568373661</v>
      </c>
      <c r="P31" s="3">
        <f t="shared" si="4"/>
        <v>0.73157006190208218</v>
      </c>
      <c r="Q31">
        <v>896</v>
      </c>
      <c r="R31">
        <v>13</v>
      </c>
      <c r="S31">
        <v>591</v>
      </c>
      <c r="T31" s="1">
        <f t="shared" si="5"/>
        <v>604</v>
      </c>
      <c r="U31" s="3">
        <f t="shared" si="6"/>
        <v>2.1523178807947021</v>
      </c>
      <c r="V31">
        <v>57</v>
      </c>
      <c r="W31" s="3">
        <f t="shared" si="7"/>
        <v>9.4370860927152318</v>
      </c>
      <c r="X31">
        <v>547</v>
      </c>
      <c r="Y31">
        <v>0</v>
      </c>
      <c r="Z31">
        <v>0</v>
      </c>
      <c r="AA31">
        <v>153</v>
      </c>
      <c r="AB31" s="3">
        <f t="shared" si="8"/>
        <v>25.331125827814571</v>
      </c>
      <c r="AC31">
        <v>51</v>
      </c>
      <c r="AD31" s="3">
        <f t="shared" si="9"/>
        <v>8.443708609271523</v>
      </c>
      <c r="AE31">
        <v>87</v>
      </c>
      <c r="AF31" s="3">
        <f t="shared" si="10"/>
        <v>14.403973509933774</v>
      </c>
      <c r="AG31">
        <v>54</v>
      </c>
      <c r="AH31" s="3">
        <f t="shared" si="11"/>
        <v>8.9403973509933774</v>
      </c>
      <c r="AI31">
        <v>36</v>
      </c>
      <c r="AJ31" s="3">
        <f t="shared" si="12"/>
        <v>5.9602649006622519</v>
      </c>
      <c r="AK31">
        <v>166</v>
      </c>
      <c r="AL31" s="3">
        <f t="shared" si="13"/>
        <v>27.483443708609272</v>
      </c>
      <c r="AM31" t="s">
        <v>369</v>
      </c>
      <c r="AN31" s="72">
        <f>Дума_партии[[#This Row],[КОИБ]]</f>
        <v>2017</v>
      </c>
      <c r="AO31" s="1">
        <f>IF(Дума_партии[[#This Row],[Наблюдателей]]=0,"",Дума_партии[[#This Row],[Наблюдателей]])</f>
        <v>1</v>
      </c>
      <c r="AP31" s="10">
        <f>Мособлдума_одномандатный_13[[#This Row],[Рожнов Олег Александрович]]-((AC$203/100)/(1-(AC$203/100)))*(Мособлдума_одномандатный_13[[#This Row],[Число действительных бюллетеней]]-Мособлдума_одномандатный_13[[#This Row],[Рожнов Олег Александрович]])</f>
        <v>36.276139410187653</v>
      </c>
      <c r="AQ31" s="10">
        <f>2*(Мособлдума_одномандатный_13[[#This Row],[Рожнов Олег Александрович]]-(AC$203/100)*Мособлдума_одномандатный_13[[#This Row],[Число действительных бюллетеней]])</f>
        <v>54.124000000000024</v>
      </c>
      <c r="AR31" s="10">
        <f>(Мособлдума_одномандатный_13[[#This Row],[Вброс]]+Мособлдума_одномандатный_13[[#This Row],[Перекладывание]])/2</f>
        <v>45.200069705093838</v>
      </c>
    </row>
    <row r="32" spans="2:44" x14ac:dyDescent="0.4">
      <c r="B32" t="s">
        <v>74</v>
      </c>
      <c r="C32" t="s">
        <v>102</v>
      </c>
      <c r="D32" t="s">
        <v>138</v>
      </c>
      <c r="E32" t="s">
        <v>160</v>
      </c>
      <c r="F32" s="1">
        <f t="shared" ca="1" si="0"/>
        <v>2064</v>
      </c>
      <c r="G32" s="8" t="str">
        <f>Дума_партии[[#This Row],[Местоположение]]</f>
        <v>Голицыно</v>
      </c>
      <c r="H32" s="2" t="str">
        <f>LEFT(Мособлдума_одномандатный_13[[#This Row],[tik]],4)&amp;"."&amp;IF(ISNUMBER(VALUE(RIGHT(Мособлдума_одномандатный_13[[#This Row],[tik]]))),RIGHT(Мособлдума_одномандатный_13[[#This Row],[tik]]),"")</f>
        <v>Один.</v>
      </c>
      <c r="I32">
        <v>1121</v>
      </c>
      <c r="J32" s="8">
        <f>Мособлдума_одномандатный_13[[#This Row],[Число избирателей, внесенных в список на момент окончания голосования]]</f>
        <v>1121</v>
      </c>
      <c r="K32">
        <v>1000</v>
      </c>
      <c r="M32">
        <v>394</v>
      </c>
      <c r="N32">
        <v>34</v>
      </c>
      <c r="O32" s="3">
        <f t="shared" si="3"/>
        <v>38.18019625334523</v>
      </c>
      <c r="P32" s="3">
        <f t="shared" si="4"/>
        <v>3.0330062444246209</v>
      </c>
      <c r="Q32">
        <v>572</v>
      </c>
      <c r="R32">
        <v>34</v>
      </c>
      <c r="S32">
        <v>394</v>
      </c>
      <c r="T32" s="1">
        <f t="shared" si="5"/>
        <v>428</v>
      </c>
      <c r="U32" s="3">
        <f t="shared" si="6"/>
        <v>7.94392523364486</v>
      </c>
      <c r="V32">
        <v>20</v>
      </c>
      <c r="W32" s="3">
        <f t="shared" si="7"/>
        <v>4.6728971962616823</v>
      </c>
      <c r="X32">
        <v>408</v>
      </c>
      <c r="Y32">
        <v>0</v>
      </c>
      <c r="Z32">
        <v>0</v>
      </c>
      <c r="AA32">
        <v>115</v>
      </c>
      <c r="AB32" s="3">
        <f t="shared" si="8"/>
        <v>26.869158878504674</v>
      </c>
      <c r="AC32">
        <v>46</v>
      </c>
      <c r="AD32" s="3">
        <f t="shared" si="9"/>
        <v>10.747663551401869</v>
      </c>
      <c r="AE32">
        <v>65</v>
      </c>
      <c r="AF32" s="3">
        <f t="shared" si="10"/>
        <v>15.186915887850468</v>
      </c>
      <c r="AG32">
        <v>38</v>
      </c>
      <c r="AH32" s="3">
        <f t="shared" si="11"/>
        <v>8.878504672897197</v>
      </c>
      <c r="AI32">
        <v>31</v>
      </c>
      <c r="AJ32" s="3">
        <f t="shared" si="12"/>
        <v>7.2429906542056077</v>
      </c>
      <c r="AK32">
        <v>113</v>
      </c>
      <c r="AL32" s="3">
        <f t="shared" si="13"/>
        <v>26.401869158878505</v>
      </c>
      <c r="AM32" t="s">
        <v>369</v>
      </c>
      <c r="AN32" s="72">
        <f>Дума_партии[[#This Row],[КОИБ]]</f>
        <v>2017</v>
      </c>
      <c r="AO32" s="1" t="str">
        <f>IF(Дума_партии[[#This Row],[Наблюдателей]]=0,"",Дума_партии[[#This Row],[Наблюдателей]])</f>
        <v/>
      </c>
      <c r="AP32" s="10">
        <f>Мособлдума_одномандатный_13[[#This Row],[Рожнов Олег Александрович]]-((AC$203/100)/(1-(AC$203/100)))*(Мособлдума_одномандатный_13[[#This Row],[Число действительных бюллетеней]]-Мособлдума_одномандатный_13[[#This Row],[Рожнов Олег Александрович]])</f>
        <v>12.557640750670245</v>
      </c>
      <c r="AQ32" s="10">
        <f>2*(Мособлдума_одномандатный_13[[#This Row],[Рожнов Олег Александрович]]-(AC$203/100)*Мособлдума_одномандатный_13[[#This Row],[Число действительных бюллетеней]])</f>
        <v>18.73599999999999</v>
      </c>
      <c r="AR32" s="10">
        <f>(Мособлдума_одномандатный_13[[#This Row],[Вброс]]+Мособлдума_одномандатный_13[[#This Row],[Перекладывание]])/2</f>
        <v>15.646820375335118</v>
      </c>
    </row>
    <row r="33" spans="2:44" x14ac:dyDescent="0.4">
      <c r="B33" t="s">
        <v>74</v>
      </c>
      <c r="C33" t="s">
        <v>102</v>
      </c>
      <c r="D33" t="s">
        <v>138</v>
      </c>
      <c r="E33" t="s">
        <v>161</v>
      </c>
      <c r="F33" s="1">
        <f t="shared" ca="1" si="0"/>
        <v>2065</v>
      </c>
      <c r="G33" s="8" t="str">
        <f>Дума_партии[[#This Row],[Местоположение]]</f>
        <v>Голицыно</v>
      </c>
      <c r="H33" s="2" t="str">
        <f>LEFT(Мособлдума_одномандатный_13[[#This Row],[tik]],4)&amp;"."&amp;IF(ISNUMBER(VALUE(RIGHT(Мособлдума_одномандатный_13[[#This Row],[tik]]))),RIGHT(Мособлдума_одномандатный_13[[#This Row],[tik]]),"")</f>
        <v>Один.</v>
      </c>
      <c r="I33">
        <v>2243</v>
      </c>
      <c r="J33" s="8">
        <f>Мособлдума_одномандатный_13[[#This Row],[Число избирателей, внесенных в список на момент окончания голосования]]</f>
        <v>2243</v>
      </c>
      <c r="K33">
        <v>2000</v>
      </c>
      <c r="M33">
        <v>634</v>
      </c>
      <c r="N33">
        <v>26</v>
      </c>
      <c r="O33" s="3">
        <f t="shared" si="3"/>
        <v>29.424877396344183</v>
      </c>
      <c r="P33" s="3">
        <f t="shared" si="4"/>
        <v>1.15916183682568</v>
      </c>
      <c r="Q33">
        <v>1340</v>
      </c>
      <c r="R33">
        <v>26</v>
      </c>
      <c r="S33">
        <v>634</v>
      </c>
      <c r="T33" s="1">
        <f t="shared" si="5"/>
        <v>660</v>
      </c>
      <c r="U33" s="3">
        <f t="shared" si="6"/>
        <v>3.9393939393939394</v>
      </c>
      <c r="V33">
        <v>58</v>
      </c>
      <c r="W33" s="3">
        <f t="shared" si="7"/>
        <v>8.7878787878787872</v>
      </c>
      <c r="X33">
        <v>602</v>
      </c>
      <c r="Y33">
        <v>0</v>
      </c>
      <c r="Z33">
        <v>0</v>
      </c>
      <c r="AA33">
        <v>181</v>
      </c>
      <c r="AB33" s="3">
        <f t="shared" si="8"/>
        <v>27.424242424242426</v>
      </c>
      <c r="AC33">
        <v>55</v>
      </c>
      <c r="AD33" s="3">
        <f t="shared" si="9"/>
        <v>8.3333333333333339</v>
      </c>
      <c r="AE33">
        <v>88</v>
      </c>
      <c r="AF33" s="3">
        <f t="shared" si="10"/>
        <v>13.333333333333334</v>
      </c>
      <c r="AG33">
        <v>71</v>
      </c>
      <c r="AH33" s="3">
        <f t="shared" si="11"/>
        <v>10.757575757575758</v>
      </c>
      <c r="AI33">
        <v>51</v>
      </c>
      <c r="AJ33" s="3">
        <f t="shared" si="12"/>
        <v>7.7272727272727275</v>
      </c>
      <c r="AK33">
        <v>156</v>
      </c>
      <c r="AL33" s="3">
        <f t="shared" si="13"/>
        <v>23.636363636363637</v>
      </c>
      <c r="AM33" t="s">
        <v>369</v>
      </c>
      <c r="AN33" s="72">
        <f>Дума_партии[[#This Row],[КОИБ]]</f>
        <v>2017</v>
      </c>
      <c r="AO33" s="1" t="str">
        <f>IF(Дума_партии[[#This Row],[Наблюдателей]]=0,"",Дума_партии[[#This Row],[Наблюдателей]])</f>
        <v/>
      </c>
      <c r="AP33" s="10">
        <f>Мособлдума_одномандатный_13[[#This Row],[Рожнов Олег Александрович]]-((AC$203/100)/(1-(AC$203/100)))*(Мособлдума_одномандатный_13[[#This Row],[Число действительных бюллетеней]]-Мособлдума_одномандатный_13[[#This Row],[Рожнов Олег Александрович]])</f>
        <v>4.144772117962475</v>
      </c>
      <c r="AQ33" s="10">
        <f>2*(Мособлдума_одномандатный_13[[#This Row],[Рожнов Олег Александрович]]-(AC$203/100)*Мособлдума_одномандатный_13[[#This Row],[Число действительных бюллетеней]])</f>
        <v>6.1839999999999691</v>
      </c>
      <c r="AR33" s="10">
        <f>(Мособлдума_одномандатный_13[[#This Row],[Вброс]]+Мособлдума_одномандатный_13[[#This Row],[Перекладывание]])/2</f>
        <v>5.164386058981222</v>
      </c>
    </row>
    <row r="34" spans="2:44" x14ac:dyDescent="0.4">
      <c r="B34" t="s">
        <v>74</v>
      </c>
      <c r="C34" t="s">
        <v>102</v>
      </c>
      <c r="D34" t="s">
        <v>138</v>
      </c>
      <c r="E34" t="s">
        <v>162</v>
      </c>
      <c r="F34" s="1">
        <f t="shared" ca="1" si="0"/>
        <v>2067</v>
      </c>
      <c r="G34" s="8" t="str">
        <f>Дума_партии[[#This Row],[Местоположение]]</f>
        <v>Голицыно</v>
      </c>
      <c r="H34" s="2" t="str">
        <f>LEFT(Мособлдума_одномандатный_13[[#This Row],[tik]],4)&amp;"."&amp;IF(ISNUMBER(VALUE(RIGHT(Мособлдума_одномандатный_13[[#This Row],[tik]]))),RIGHT(Мособлдума_одномандатный_13[[#This Row],[tik]]),"")</f>
        <v>Один.</v>
      </c>
      <c r="I34">
        <v>1262</v>
      </c>
      <c r="J34" s="8">
        <f>Мособлдума_одномандатный_13[[#This Row],[Число избирателей, внесенных в список на момент окончания голосования]]</f>
        <v>1262</v>
      </c>
      <c r="K34">
        <v>1000</v>
      </c>
      <c r="M34">
        <v>325</v>
      </c>
      <c r="N34">
        <v>160</v>
      </c>
      <c r="O34" s="3">
        <f t="shared" si="3"/>
        <v>38.431061806656103</v>
      </c>
      <c r="P34" s="3">
        <f t="shared" si="4"/>
        <v>12.678288431061807</v>
      </c>
      <c r="Q34">
        <v>515</v>
      </c>
      <c r="R34">
        <v>159</v>
      </c>
      <c r="S34">
        <v>324</v>
      </c>
      <c r="T34" s="1">
        <f t="shared" si="5"/>
        <v>483</v>
      </c>
      <c r="U34" s="3">
        <f t="shared" si="6"/>
        <v>32.919254658385093</v>
      </c>
      <c r="V34">
        <v>16</v>
      </c>
      <c r="W34" s="3">
        <f t="shared" si="7"/>
        <v>3.3126293995859215</v>
      </c>
      <c r="X34">
        <v>467</v>
      </c>
      <c r="Y34">
        <v>0</v>
      </c>
      <c r="Z34">
        <v>0</v>
      </c>
      <c r="AA34">
        <v>87</v>
      </c>
      <c r="AB34" s="3">
        <f t="shared" si="8"/>
        <v>18.012422360248447</v>
      </c>
      <c r="AC34">
        <v>28</v>
      </c>
      <c r="AD34" s="3">
        <f t="shared" si="9"/>
        <v>5.7971014492753623</v>
      </c>
      <c r="AE34">
        <v>51</v>
      </c>
      <c r="AF34" s="3">
        <f t="shared" si="10"/>
        <v>10.559006211180124</v>
      </c>
      <c r="AG34">
        <v>41</v>
      </c>
      <c r="AH34" s="3">
        <f t="shared" si="11"/>
        <v>8.4886128364389233</v>
      </c>
      <c r="AI34">
        <v>28</v>
      </c>
      <c r="AJ34" s="3">
        <f t="shared" si="12"/>
        <v>5.7971014492753623</v>
      </c>
      <c r="AK34">
        <v>232</v>
      </c>
      <c r="AL34" s="3">
        <f t="shared" si="13"/>
        <v>48.033126293995856</v>
      </c>
      <c r="AM34" t="s">
        <v>369</v>
      </c>
      <c r="AN34" s="72">
        <f>Дума_партии[[#This Row],[КОИБ]]</f>
        <v>2017</v>
      </c>
      <c r="AO34" s="1" t="str">
        <f>IF(Дума_партии[[#This Row],[Наблюдателей]]=0,"",Дума_партии[[#This Row],[Наблюдателей]])</f>
        <v/>
      </c>
      <c r="AP34" s="10">
        <f>Мособлдума_одномандатный_13[[#This Row],[Рожнов Олег Александрович]]-((AC$203/100)/(1-(AC$203/100)))*(Мособлдума_одномандатный_13[[#This Row],[Число действительных бюллетеней]]-Мособлдума_одномандатный_13[[#This Row],[Рожнов Олег Александрович]])</f>
        <v>151.98659517426273</v>
      </c>
      <c r="AQ34" s="10">
        <f>2*(Мособлдума_одномандатный_13[[#This Row],[Рожнов Олег Александрович]]-(AC$203/100)*Мособлдума_одномандатный_13[[#This Row],[Число действительных бюллетеней]])</f>
        <v>226.76400000000001</v>
      </c>
      <c r="AR34" s="10">
        <f>(Мособлдума_одномандатный_13[[#This Row],[Вброс]]+Мособлдума_одномандатный_13[[#This Row],[Перекладывание]])/2</f>
        <v>189.37529758713137</v>
      </c>
    </row>
    <row r="35" spans="2:44" x14ac:dyDescent="0.4">
      <c r="B35" t="s">
        <v>74</v>
      </c>
      <c r="C35" t="s">
        <v>102</v>
      </c>
      <c r="D35" t="s">
        <v>138</v>
      </c>
      <c r="E35" t="s">
        <v>163</v>
      </c>
      <c r="F35" s="1">
        <f t="shared" ca="1" si="0"/>
        <v>2068</v>
      </c>
      <c r="G35" s="8" t="str">
        <f>Дума_партии[[#This Row],[Местоположение]]</f>
        <v>Голицыно</v>
      </c>
      <c r="H35" s="2" t="str">
        <f>LEFT(Мособлдума_одномандатный_13[[#This Row],[tik]],4)&amp;"."&amp;IF(ISNUMBER(VALUE(RIGHT(Мособлдума_одномандатный_13[[#This Row],[tik]]))),RIGHT(Мособлдума_одномандатный_13[[#This Row],[tik]]),"")</f>
        <v>Один.</v>
      </c>
      <c r="I35">
        <v>553</v>
      </c>
      <c r="J35" s="8">
        <f>Мособлдума_одномандатный_13[[#This Row],[Число избирателей, внесенных в список на момент окончания голосования]]</f>
        <v>553</v>
      </c>
      <c r="K35">
        <v>750</v>
      </c>
      <c r="M35">
        <v>254</v>
      </c>
      <c r="N35">
        <v>80</v>
      </c>
      <c r="O35" s="3">
        <f t="shared" si="3"/>
        <v>60.397830018083184</v>
      </c>
      <c r="P35" s="3">
        <f t="shared" si="4"/>
        <v>14.466546112115733</v>
      </c>
      <c r="Q35">
        <v>416</v>
      </c>
      <c r="R35">
        <v>80</v>
      </c>
      <c r="S35">
        <v>254</v>
      </c>
      <c r="T35" s="1">
        <f t="shared" si="5"/>
        <v>334</v>
      </c>
      <c r="U35" s="3">
        <f t="shared" si="6"/>
        <v>23.952095808383234</v>
      </c>
      <c r="V35">
        <v>33</v>
      </c>
      <c r="W35" s="3">
        <f t="shared" si="7"/>
        <v>9.8802395209580833</v>
      </c>
      <c r="X35">
        <v>301</v>
      </c>
      <c r="Y35">
        <v>0</v>
      </c>
      <c r="Z35">
        <v>0</v>
      </c>
      <c r="AA35">
        <v>66</v>
      </c>
      <c r="AB35" s="3">
        <f t="shared" si="8"/>
        <v>19.760479041916167</v>
      </c>
      <c r="AC35">
        <v>30</v>
      </c>
      <c r="AD35" s="3">
        <f t="shared" si="9"/>
        <v>8.9820359281437128</v>
      </c>
      <c r="AE35">
        <v>55</v>
      </c>
      <c r="AF35" s="3">
        <f t="shared" si="10"/>
        <v>16.467065868263472</v>
      </c>
      <c r="AG35">
        <v>24</v>
      </c>
      <c r="AH35" s="3">
        <f t="shared" si="11"/>
        <v>7.1856287425149699</v>
      </c>
      <c r="AI35">
        <v>23</v>
      </c>
      <c r="AJ35" s="3">
        <f t="shared" si="12"/>
        <v>6.88622754491018</v>
      </c>
      <c r="AK35">
        <v>103</v>
      </c>
      <c r="AL35" s="3">
        <f t="shared" si="13"/>
        <v>30.838323353293415</v>
      </c>
      <c r="AM35" t="s">
        <v>369</v>
      </c>
      <c r="AN35" s="72">
        <f>Дума_партии[[#This Row],[КОИБ]]</f>
        <v>2017</v>
      </c>
      <c r="AO35" s="1" t="str">
        <f>IF(Дума_партии[[#This Row],[Наблюдателей]]=0,"",Дума_партии[[#This Row],[Наблюдателей]])</f>
        <v/>
      </c>
      <c r="AP35" s="10">
        <f>Мособлдума_одномандатный_13[[#This Row],[Рожнов Олег Александрович]]-((AC$203/100)/(1-(AC$203/100)))*(Мособлдума_одномандатный_13[[#This Row],[Число действительных бюллетеней]]-Мособлдума_одномандатный_13[[#This Row],[Рожнов Олег Александрович]])</f>
        <v>35.584450402144768</v>
      </c>
      <c r="AQ35" s="10">
        <f>2*(Мособлдума_одномандатный_13[[#This Row],[Рожнов Олег Александрович]]-(AC$203/100)*Мособлдума_одномандатный_13[[#This Row],[Число действительных бюллетеней]])</f>
        <v>53.091999999999985</v>
      </c>
      <c r="AR35" s="10">
        <f>(Мособлдума_одномандатный_13[[#This Row],[Вброс]]+Мособлдума_одномандатный_13[[#This Row],[Перекладывание]])/2</f>
        <v>44.338225201072376</v>
      </c>
    </row>
    <row r="36" spans="2:44" x14ac:dyDescent="0.4">
      <c r="B36" t="s">
        <v>74</v>
      </c>
      <c r="C36" t="s">
        <v>102</v>
      </c>
      <c r="D36" t="s">
        <v>138</v>
      </c>
      <c r="E36" t="s">
        <v>164</v>
      </c>
      <c r="F36" s="1">
        <f t="shared" ca="1" si="0"/>
        <v>2069</v>
      </c>
      <c r="G36" s="8" t="str">
        <f>Дума_партии[[#This Row],[Местоположение]]</f>
        <v>пос. НИИ Радио</v>
      </c>
      <c r="H36" s="2" t="str">
        <f>LEFT(Мособлдума_одномандатный_13[[#This Row],[tik]],4)&amp;"."&amp;IF(ISNUMBER(VALUE(RIGHT(Мособлдума_одномандатный_13[[#This Row],[tik]]))),RIGHT(Мособлдума_одномандатный_13[[#This Row],[tik]]),"")</f>
        <v>Один.</v>
      </c>
      <c r="I36">
        <v>932</v>
      </c>
      <c r="J36" s="8">
        <f>Мособлдума_одномандатный_13[[#This Row],[Число избирателей, внесенных в список на момент окончания голосования]]</f>
        <v>932</v>
      </c>
      <c r="K36">
        <v>850</v>
      </c>
      <c r="M36">
        <v>237</v>
      </c>
      <c r="N36">
        <v>141</v>
      </c>
      <c r="O36" s="3">
        <f t="shared" si="3"/>
        <v>40.557939914163093</v>
      </c>
      <c r="P36" s="3">
        <f t="shared" si="4"/>
        <v>15.128755364806867</v>
      </c>
      <c r="Q36">
        <v>472</v>
      </c>
      <c r="R36">
        <v>141</v>
      </c>
      <c r="S36">
        <v>237</v>
      </c>
      <c r="T36" s="1">
        <f t="shared" si="5"/>
        <v>378</v>
      </c>
      <c r="U36" s="3">
        <f t="shared" si="6"/>
        <v>37.301587301587304</v>
      </c>
      <c r="V36">
        <v>2</v>
      </c>
      <c r="W36" s="3">
        <f t="shared" si="7"/>
        <v>0.52910052910052907</v>
      </c>
      <c r="X36">
        <v>376</v>
      </c>
      <c r="Y36">
        <v>0</v>
      </c>
      <c r="Z36">
        <v>0</v>
      </c>
      <c r="AA36">
        <v>48</v>
      </c>
      <c r="AB36" s="3">
        <f t="shared" si="8"/>
        <v>12.698412698412698</v>
      </c>
      <c r="AC36">
        <v>17</v>
      </c>
      <c r="AD36" s="3">
        <f t="shared" si="9"/>
        <v>4.4973544973544977</v>
      </c>
      <c r="AE36">
        <v>44</v>
      </c>
      <c r="AF36" s="3">
        <f t="shared" si="10"/>
        <v>11.640211640211641</v>
      </c>
      <c r="AG36">
        <v>17</v>
      </c>
      <c r="AH36" s="3">
        <f t="shared" si="11"/>
        <v>4.4973544973544977</v>
      </c>
      <c r="AI36">
        <v>16</v>
      </c>
      <c r="AJ36" s="3">
        <f t="shared" si="12"/>
        <v>4.2328042328042326</v>
      </c>
      <c r="AK36">
        <v>234</v>
      </c>
      <c r="AL36" s="3">
        <f t="shared" si="13"/>
        <v>61.904761904761905</v>
      </c>
      <c r="AM36" t="s">
        <v>369</v>
      </c>
      <c r="AN36" s="72" t="str">
        <f>Дума_партии[[#This Row],[КОИБ]]</f>
        <v>N</v>
      </c>
      <c r="AO36" s="1" t="str">
        <f>IF(Дума_партии[[#This Row],[Наблюдателей]]=0,"",Дума_партии[[#This Row],[Наблюдателей]])</f>
        <v/>
      </c>
      <c r="AP36" s="10">
        <f>Мособлдума_одномандатный_13[[#This Row],[Рожнов Олег Александрович]]-((AC$203/100)/(1-(AC$203/100)))*(Мособлдума_одномандатный_13[[#This Row],[Число действительных бюллетеней]]-Мособлдума_одномандатный_13[[#This Row],[Рожнов Олег Александрович]])</f>
        <v>185.65147453083108</v>
      </c>
      <c r="AQ36" s="10">
        <f>2*(Мособлдума_одномандатный_13[[#This Row],[Рожнов Олег Александрович]]-(AC$203/100)*Мособлдума_одномандатный_13[[#This Row],[Число действительных бюллетеней]])</f>
        <v>276.99199999999996</v>
      </c>
      <c r="AR36" s="10">
        <f>(Мособлдума_одномандатный_13[[#This Row],[Вброс]]+Мособлдума_одномандатный_13[[#This Row],[Перекладывание]])/2</f>
        <v>231.32173726541552</v>
      </c>
    </row>
    <row r="37" spans="2:44" s="33" customFormat="1" hidden="1" x14ac:dyDescent="0.4">
      <c r="G37" s="36"/>
      <c r="H37" s="40"/>
      <c r="J37" s="36"/>
      <c r="O37" s="37"/>
      <c r="P37" s="37"/>
      <c r="U37" s="37"/>
      <c r="W37" s="37"/>
      <c r="AB37" s="37"/>
      <c r="AD37" s="37"/>
      <c r="AF37" s="37"/>
      <c r="AH37" s="37"/>
      <c r="AJ37" s="37"/>
      <c r="AL37" s="37"/>
      <c r="AP37" s="41"/>
      <c r="AQ37" s="41"/>
      <c r="AR37" s="41"/>
    </row>
    <row r="38" spans="2:44" s="33" customFormat="1" hidden="1" x14ac:dyDescent="0.4">
      <c r="G38" s="36"/>
      <c r="H38" s="40"/>
      <c r="J38" s="36"/>
      <c r="O38" s="37"/>
      <c r="P38" s="37"/>
      <c r="U38" s="37"/>
      <c r="W38" s="37"/>
      <c r="AB38" s="37"/>
      <c r="AD38" s="37"/>
      <c r="AF38" s="37"/>
      <c r="AH38" s="37"/>
      <c r="AJ38" s="37"/>
      <c r="AL38" s="37"/>
      <c r="AP38" s="41"/>
      <c r="AQ38" s="41"/>
      <c r="AR38" s="41"/>
    </row>
    <row r="39" spans="2:44" s="33" customFormat="1" hidden="1" x14ac:dyDescent="0.4">
      <c r="G39" s="36"/>
      <c r="H39" s="40"/>
      <c r="J39" s="36"/>
      <c r="O39" s="37"/>
      <c r="P39" s="37"/>
      <c r="U39" s="37"/>
      <c r="W39" s="37"/>
      <c r="AB39" s="37"/>
      <c r="AD39" s="37"/>
      <c r="AF39" s="37"/>
      <c r="AH39" s="37"/>
      <c r="AJ39" s="37"/>
      <c r="AL39" s="37"/>
      <c r="AP39" s="41"/>
      <c r="AQ39" s="41"/>
      <c r="AR39" s="41"/>
    </row>
    <row r="40" spans="2:44" s="33" customFormat="1" hidden="1" x14ac:dyDescent="0.4">
      <c r="G40" s="36"/>
      <c r="H40" s="40"/>
      <c r="J40" s="36"/>
      <c r="O40" s="37"/>
      <c r="P40" s="37"/>
      <c r="U40" s="37"/>
      <c r="W40" s="37"/>
      <c r="AB40" s="37"/>
      <c r="AD40" s="37"/>
      <c r="AF40" s="37"/>
      <c r="AH40" s="37"/>
      <c r="AJ40" s="37"/>
      <c r="AL40" s="37"/>
      <c r="AP40" s="41"/>
      <c r="AQ40" s="41"/>
      <c r="AR40" s="41"/>
    </row>
    <row r="41" spans="2:44" s="33" customFormat="1" hidden="1" x14ac:dyDescent="0.4">
      <c r="G41" s="36"/>
      <c r="H41" s="40"/>
      <c r="J41" s="36"/>
      <c r="O41" s="37"/>
      <c r="P41" s="37"/>
      <c r="U41" s="37"/>
      <c r="W41" s="37"/>
      <c r="AB41" s="37"/>
      <c r="AD41" s="37"/>
      <c r="AF41" s="37"/>
      <c r="AH41" s="37"/>
      <c r="AJ41" s="37"/>
      <c r="AL41" s="37"/>
      <c r="AP41" s="41"/>
      <c r="AQ41" s="41"/>
      <c r="AR41" s="41"/>
    </row>
    <row r="42" spans="2:44" s="33" customFormat="1" hidden="1" x14ac:dyDescent="0.4">
      <c r="G42" s="36"/>
      <c r="H42" s="40"/>
      <c r="J42" s="36"/>
      <c r="O42" s="37"/>
      <c r="P42" s="37"/>
      <c r="U42" s="37"/>
      <c r="W42" s="37"/>
      <c r="AB42" s="37"/>
      <c r="AD42" s="37"/>
      <c r="AF42" s="37"/>
      <c r="AH42" s="37"/>
      <c r="AJ42" s="37"/>
      <c r="AL42" s="37"/>
      <c r="AP42" s="41"/>
      <c r="AQ42" s="41"/>
      <c r="AR42" s="41"/>
    </row>
    <row r="43" spans="2:44" s="33" customFormat="1" hidden="1" x14ac:dyDescent="0.4">
      <c r="G43" s="36"/>
      <c r="H43" s="40"/>
      <c r="J43" s="36"/>
      <c r="O43" s="37"/>
      <c r="P43" s="37"/>
      <c r="U43" s="37"/>
      <c r="W43" s="37"/>
      <c r="AB43" s="37"/>
      <c r="AD43" s="37"/>
      <c r="AF43" s="37"/>
      <c r="AH43" s="37"/>
      <c r="AJ43" s="37"/>
      <c r="AL43" s="37"/>
      <c r="AP43" s="41"/>
      <c r="AQ43" s="41"/>
      <c r="AR43" s="41"/>
    </row>
    <row r="44" spans="2:44" x14ac:dyDescent="0.4">
      <c r="B44" t="s">
        <v>74</v>
      </c>
      <c r="C44" t="s">
        <v>102</v>
      </c>
      <c r="D44" t="s">
        <v>138</v>
      </c>
      <c r="E44" t="s">
        <v>172</v>
      </c>
      <c r="F44" s="1">
        <f t="shared" ref="F44:F55" ca="1" si="14">SUMPRODUCT(MID(0&amp;E44, LARGE(INDEX(ISNUMBER(--MID(E44, ROW(INDIRECT("1:"&amp;LEN(E44))), 1)) * ROW(INDIRECT("1:"&amp;LEN(E44))), 0), ROW(INDIRECT("1:"&amp;LEN(E44))))+1, 1) * 10^ROW(INDIRECT("1:"&amp;LEN(E44)))/10)</f>
        <v>3908</v>
      </c>
      <c r="G44" s="8" t="str">
        <f>Дума_партии[[#This Row],[Местоположение]]</f>
        <v>Кубинка</v>
      </c>
      <c r="H44" s="2" t="str">
        <f>LEFT(Мособлдума_одномандатный_13[[#This Row],[tik]],4)&amp;"."&amp;IF(ISNUMBER(VALUE(RIGHT(Мособлдума_одномандатный_13[[#This Row],[tik]]))),RIGHT(Мособлдума_одномандатный_13[[#This Row],[tik]]),"")</f>
        <v>Один.</v>
      </c>
      <c r="I44">
        <v>2687</v>
      </c>
      <c r="J44" s="8">
        <f>Мособлдума_одномандатный_13[[#This Row],[Число избирателей, внесенных в список на момент окончания голосования]]</f>
        <v>2687</v>
      </c>
      <c r="K44">
        <v>2000</v>
      </c>
      <c r="M44">
        <v>871</v>
      </c>
      <c r="N44">
        <v>20</v>
      </c>
      <c r="O44" s="3">
        <f t="shared" si="3"/>
        <v>33.15965761071827</v>
      </c>
      <c r="P44" s="3">
        <f t="shared" si="4"/>
        <v>0.74432452549311501</v>
      </c>
      <c r="Q44">
        <v>1109</v>
      </c>
      <c r="R44">
        <v>20</v>
      </c>
      <c r="S44">
        <v>871</v>
      </c>
      <c r="T44" s="1">
        <f t="shared" si="5"/>
        <v>891</v>
      </c>
      <c r="U44" s="3">
        <f t="shared" si="6"/>
        <v>2.244668911335578</v>
      </c>
      <c r="V44">
        <v>53</v>
      </c>
      <c r="W44" s="3">
        <f t="shared" si="7"/>
        <v>5.9483726150392817</v>
      </c>
      <c r="X44">
        <v>838</v>
      </c>
      <c r="Y44">
        <v>0</v>
      </c>
      <c r="Z44">
        <v>0</v>
      </c>
      <c r="AA44">
        <v>269</v>
      </c>
      <c r="AB44" s="3">
        <f t="shared" si="8"/>
        <v>30.190796857463525</v>
      </c>
      <c r="AC44">
        <v>88</v>
      </c>
      <c r="AD44" s="3">
        <f t="shared" si="9"/>
        <v>9.8765432098765427</v>
      </c>
      <c r="AE44">
        <v>94</v>
      </c>
      <c r="AF44" s="3">
        <f t="shared" si="10"/>
        <v>10.549943883277217</v>
      </c>
      <c r="AG44">
        <v>135</v>
      </c>
      <c r="AH44" s="3">
        <f t="shared" si="11"/>
        <v>15.151515151515152</v>
      </c>
      <c r="AI44">
        <v>59</v>
      </c>
      <c r="AJ44" s="3">
        <f t="shared" si="12"/>
        <v>6.6217732884399547</v>
      </c>
      <c r="AK44">
        <v>193</v>
      </c>
      <c r="AL44" s="3">
        <f t="shared" si="13"/>
        <v>21.661054994388326</v>
      </c>
      <c r="AM44" t="s">
        <v>369</v>
      </c>
      <c r="AN44" s="72">
        <f>Дума_партии[[#This Row],[КОИБ]]</f>
        <v>2017</v>
      </c>
      <c r="AO44" s="1">
        <f>IF(Дума_партии[[#This Row],[Наблюдателей]]=0,"",Дума_партии[[#This Row],[Наблюдателей]])</f>
        <v>1</v>
      </c>
      <c r="AP44" s="10">
        <f>Мособлдума_одномандатный_13[[#This Row],[Рожнов Олег Александрович]]-((AC$203/100)/(1-(AC$203/100)))*(Мособлдума_одномандатный_13[[#This Row],[Число действительных бюллетеней]]-Мособлдума_одномандатный_13[[#This Row],[Рожнов Олег Александрович]])</f>
        <v>-26.611260053619304</v>
      </c>
      <c r="AQ44" s="10">
        <f>2*(Мособлдума_одномандатный_13[[#This Row],[Рожнов Олег Александрович]]-(AC$203/100)*Мособлдума_одномандатный_13[[#This Row],[Число действительных бюллетеней]])</f>
        <v>-39.704000000000008</v>
      </c>
      <c r="AR44" s="10">
        <f>(Мособлдума_одномандатный_13[[#This Row],[Вброс]]+Мособлдума_одномандатный_13[[#This Row],[Перекладывание]])/2</f>
        <v>-33.157630026809656</v>
      </c>
    </row>
    <row r="45" spans="2:44" x14ac:dyDescent="0.4">
      <c r="B45" t="s">
        <v>74</v>
      </c>
      <c r="C45" t="s">
        <v>102</v>
      </c>
      <c r="D45" t="s">
        <v>138</v>
      </c>
      <c r="E45" t="s">
        <v>173</v>
      </c>
      <c r="F45" s="1">
        <f t="shared" ca="1" si="14"/>
        <v>3909</v>
      </c>
      <c r="G45" s="8" t="str">
        <f>Дума_партии[[#This Row],[Местоположение]]</f>
        <v>Кубинка</v>
      </c>
      <c r="H45" s="2" t="str">
        <f>LEFT(Мособлдума_одномандатный_13[[#This Row],[tik]],4)&amp;"."&amp;IF(ISNUMBER(VALUE(RIGHT(Мособлдума_одномандатный_13[[#This Row],[tik]]))),RIGHT(Мособлдума_одномандатный_13[[#This Row],[tik]]),"")</f>
        <v>Один.</v>
      </c>
      <c r="I45">
        <v>2348</v>
      </c>
      <c r="J45" s="8">
        <f>Мособлдума_одномандатный_13[[#This Row],[Число избирателей, внесенных в список на момент окончания голосования]]</f>
        <v>2348</v>
      </c>
      <c r="K45">
        <v>2000</v>
      </c>
      <c r="M45">
        <v>766</v>
      </c>
      <c r="N45">
        <v>15</v>
      </c>
      <c r="O45" s="3">
        <f t="shared" si="3"/>
        <v>33.262350936967636</v>
      </c>
      <c r="P45" s="3">
        <f t="shared" si="4"/>
        <v>0.63884156729131181</v>
      </c>
      <c r="Q45">
        <v>1219</v>
      </c>
      <c r="R45">
        <v>15</v>
      </c>
      <c r="S45">
        <v>760</v>
      </c>
      <c r="T45" s="1">
        <f t="shared" si="5"/>
        <v>775</v>
      </c>
      <c r="U45" s="3">
        <f t="shared" si="6"/>
        <v>1.935483870967742</v>
      </c>
      <c r="V45">
        <v>71</v>
      </c>
      <c r="W45" s="3">
        <f t="shared" si="7"/>
        <v>9.1612903225806459</v>
      </c>
      <c r="X45">
        <v>704</v>
      </c>
      <c r="Y45">
        <v>0</v>
      </c>
      <c r="Z45">
        <v>0</v>
      </c>
      <c r="AA45">
        <v>239</v>
      </c>
      <c r="AB45" s="3">
        <f t="shared" si="8"/>
        <v>30.838709677419356</v>
      </c>
      <c r="AC45">
        <v>78</v>
      </c>
      <c r="AD45" s="3">
        <f t="shared" si="9"/>
        <v>10.064516129032258</v>
      </c>
      <c r="AE45">
        <v>109</v>
      </c>
      <c r="AF45" s="3">
        <f t="shared" si="10"/>
        <v>14.064516129032258</v>
      </c>
      <c r="AG45">
        <v>74</v>
      </c>
      <c r="AH45" s="3">
        <f t="shared" si="11"/>
        <v>9.5483870967741939</v>
      </c>
      <c r="AI45">
        <v>48</v>
      </c>
      <c r="AJ45" s="3">
        <f t="shared" si="12"/>
        <v>6.193548387096774</v>
      </c>
      <c r="AK45">
        <v>156</v>
      </c>
      <c r="AL45" s="3">
        <f t="shared" si="13"/>
        <v>20.129032258064516</v>
      </c>
      <c r="AM45" t="s">
        <v>369</v>
      </c>
      <c r="AN45" s="72">
        <f>Дума_партии[[#This Row],[КОИБ]]</f>
        <v>2017</v>
      </c>
      <c r="AO45" s="1">
        <f>IF(Дума_партии[[#This Row],[Наблюдателей]]=0,"",Дума_партии[[#This Row],[Наблюдателей]])</f>
        <v>2</v>
      </c>
      <c r="AP45" s="10">
        <f>Мособлдума_одномандатный_13[[#This Row],[Рожнов Олег Александрович]]-((AC$203/100)/(1-(AC$203/100)))*(Мособлдума_одномандатный_13[[#This Row],[Число действительных бюллетеней]]-Мособлдума_одномандатный_13[[#This Row],[Рожнов Олег Александрович]])</f>
        <v>-30.584450402144768</v>
      </c>
      <c r="AQ45" s="10">
        <f>2*(Мособлдума_одномандатный_13[[#This Row],[Рожнов Олег Александрович]]-(AC$203/100)*Мособлдума_одномандатный_13[[#This Row],[Число действительных бюллетеней]])</f>
        <v>-45.632000000000005</v>
      </c>
      <c r="AR45" s="10">
        <f>(Мособлдума_одномандатный_13[[#This Row],[Вброс]]+Мособлдума_одномандатный_13[[#This Row],[Перекладывание]])/2</f>
        <v>-38.108225201072386</v>
      </c>
    </row>
    <row r="46" spans="2:44" x14ac:dyDescent="0.4">
      <c r="B46" t="s">
        <v>74</v>
      </c>
      <c r="C46" t="s">
        <v>102</v>
      </c>
      <c r="D46" t="s">
        <v>138</v>
      </c>
      <c r="E46" t="s">
        <v>174</v>
      </c>
      <c r="F46" s="1">
        <f t="shared" ca="1" si="14"/>
        <v>3912</v>
      </c>
      <c r="G46" s="8" t="str">
        <f>Дума_партии[[#This Row],[Местоположение]]</f>
        <v>Кубинка</v>
      </c>
      <c r="H46" s="2" t="str">
        <f>LEFT(Мособлдума_одномандатный_13[[#This Row],[tik]],4)&amp;"."&amp;IF(ISNUMBER(VALUE(RIGHT(Мособлдума_одномандатный_13[[#This Row],[tik]]))),RIGHT(Мособлдума_одномандатный_13[[#This Row],[tik]]),"")</f>
        <v>Один.</v>
      </c>
      <c r="I46">
        <v>2383</v>
      </c>
      <c r="J46" s="8">
        <f>Мособлдума_одномандатный_13[[#This Row],[Число избирателей, внесенных в список на момент окончания голосования]]</f>
        <v>2383</v>
      </c>
      <c r="K46">
        <v>2000</v>
      </c>
      <c r="M46">
        <v>1588</v>
      </c>
      <c r="N46">
        <v>0</v>
      </c>
      <c r="O46" s="3">
        <f t="shared" si="3"/>
        <v>66.638690725975664</v>
      </c>
      <c r="P46" s="3">
        <f t="shared" si="4"/>
        <v>0</v>
      </c>
      <c r="Q46">
        <v>412</v>
      </c>
      <c r="R46">
        <v>0</v>
      </c>
      <c r="S46">
        <v>1588</v>
      </c>
      <c r="T46" s="1">
        <f t="shared" si="5"/>
        <v>1588</v>
      </c>
      <c r="U46" s="3">
        <f t="shared" si="6"/>
        <v>0</v>
      </c>
      <c r="V46">
        <v>99</v>
      </c>
      <c r="W46" s="3">
        <f t="shared" si="7"/>
        <v>6.2342569269521411</v>
      </c>
      <c r="X46">
        <v>1489</v>
      </c>
      <c r="Y46">
        <v>0</v>
      </c>
      <c r="Z46">
        <v>0</v>
      </c>
      <c r="AA46">
        <v>145</v>
      </c>
      <c r="AB46" s="3">
        <f t="shared" si="8"/>
        <v>9.1309823677581861</v>
      </c>
      <c r="AC46">
        <v>49</v>
      </c>
      <c r="AD46" s="3">
        <f t="shared" si="9"/>
        <v>3.0856423173803527</v>
      </c>
      <c r="AE46">
        <v>82</v>
      </c>
      <c r="AF46" s="3">
        <f t="shared" si="10"/>
        <v>5.1637279596977326</v>
      </c>
      <c r="AG46">
        <v>68</v>
      </c>
      <c r="AH46" s="3">
        <f t="shared" si="11"/>
        <v>4.2821158690176322</v>
      </c>
      <c r="AI46">
        <v>58</v>
      </c>
      <c r="AJ46" s="3">
        <f t="shared" si="12"/>
        <v>3.6523929471032748</v>
      </c>
      <c r="AK46">
        <v>1087</v>
      </c>
      <c r="AL46" s="3">
        <f t="shared" si="13"/>
        <v>68.450881612090683</v>
      </c>
      <c r="AM46" t="s">
        <v>369</v>
      </c>
      <c r="AN46" s="72">
        <f>Дума_партии[[#This Row],[КОИБ]]</f>
        <v>2017</v>
      </c>
      <c r="AO46" s="1" t="str">
        <f>IF(Дума_партии[[#This Row],[Наблюдателей]]=0,"",Дума_партии[[#This Row],[Наблюдателей]])</f>
        <v/>
      </c>
      <c r="AP46" s="10">
        <f>Мособлдума_одномандатный_13[[#This Row],[Рожнов Олег Александрович]]-((AC$203/100)/(1-(AC$203/100)))*(Мособлдума_одномандатный_13[[#This Row],[Число действительных бюллетеней]]-Мособлдума_одномандатный_13[[#This Row],[Рожнов Олег Александрович]])</f>
        <v>950.12600536193031</v>
      </c>
      <c r="AQ46" s="10">
        <f>2*(Мособлдума_одномандатный_13[[#This Row],[Рожнов Олег Александрович]]-(AC$203/100)*Мособлдума_одномандатный_13[[#This Row],[Число действительных бюллетеней]])</f>
        <v>1417.588</v>
      </c>
      <c r="AR46" s="10">
        <f>(Мособлдума_одномандатный_13[[#This Row],[Вброс]]+Мособлдума_одномандатный_13[[#This Row],[Перекладывание]])/2</f>
        <v>1183.8570026809653</v>
      </c>
    </row>
    <row r="47" spans="2:44" x14ac:dyDescent="0.4">
      <c r="B47" t="s">
        <v>74</v>
      </c>
      <c r="C47" t="s">
        <v>102</v>
      </c>
      <c r="D47" t="s">
        <v>138</v>
      </c>
      <c r="E47" t="s">
        <v>175</v>
      </c>
      <c r="F47" s="1">
        <f t="shared" ca="1" si="14"/>
        <v>3913</v>
      </c>
      <c r="G47" s="8" t="str">
        <f>Дума_партии[[#This Row],[Местоположение]]</f>
        <v>Кубинка</v>
      </c>
      <c r="H47" s="2" t="str">
        <f>LEFT(Мособлдума_одномандатный_13[[#This Row],[tik]],4)&amp;"."&amp;IF(ISNUMBER(VALUE(RIGHT(Мособлдума_одномандатный_13[[#This Row],[tik]]))),RIGHT(Мособлдума_одномандатный_13[[#This Row],[tik]]),"")</f>
        <v>Один.</v>
      </c>
      <c r="I47">
        <v>984</v>
      </c>
      <c r="J47" s="8">
        <f>Мособлдума_одномандатный_13[[#This Row],[Число избирателей, внесенных в список на момент окончания голосования]]</f>
        <v>984</v>
      </c>
      <c r="K47">
        <v>850</v>
      </c>
      <c r="M47">
        <v>747</v>
      </c>
      <c r="N47">
        <v>0</v>
      </c>
      <c r="O47" s="3">
        <f t="shared" si="3"/>
        <v>75.91463414634147</v>
      </c>
      <c r="P47" s="3">
        <f t="shared" si="4"/>
        <v>0</v>
      </c>
      <c r="Q47">
        <v>103</v>
      </c>
      <c r="R47">
        <v>0</v>
      </c>
      <c r="S47">
        <v>746</v>
      </c>
      <c r="T47" s="1">
        <f t="shared" si="5"/>
        <v>746</v>
      </c>
      <c r="U47" s="3">
        <f t="shared" si="6"/>
        <v>0</v>
      </c>
      <c r="V47">
        <v>21</v>
      </c>
      <c r="W47" s="3">
        <f t="shared" si="7"/>
        <v>2.8150134048257374</v>
      </c>
      <c r="X47">
        <v>725</v>
      </c>
      <c r="Y47">
        <v>0</v>
      </c>
      <c r="Z47">
        <v>0</v>
      </c>
      <c r="AA47">
        <v>30</v>
      </c>
      <c r="AB47" s="3">
        <f t="shared" si="8"/>
        <v>4.0214477211796247</v>
      </c>
      <c r="AC47">
        <v>22</v>
      </c>
      <c r="AD47" s="3">
        <f t="shared" si="9"/>
        <v>2.9490616621983916</v>
      </c>
      <c r="AE47">
        <v>28</v>
      </c>
      <c r="AF47" s="3">
        <f t="shared" si="10"/>
        <v>3.7533512064343162</v>
      </c>
      <c r="AG47">
        <v>27</v>
      </c>
      <c r="AH47" s="3">
        <f t="shared" si="11"/>
        <v>3.6193029490616624</v>
      </c>
      <c r="AI47">
        <v>29</v>
      </c>
      <c r="AJ47" s="3">
        <f t="shared" si="12"/>
        <v>3.8873994638069704</v>
      </c>
      <c r="AK47">
        <v>589</v>
      </c>
      <c r="AL47" s="3">
        <f t="shared" si="13"/>
        <v>78.954423592493299</v>
      </c>
      <c r="AM47" t="s">
        <v>369</v>
      </c>
      <c r="AN47" s="72" t="str">
        <f>Дума_партии[[#This Row],[КОИБ]]</f>
        <v>N</v>
      </c>
      <c r="AO47" s="1" t="str">
        <f>IF(Дума_партии[[#This Row],[Наблюдателей]]=0,"",Дума_партии[[#This Row],[Наблюдателей]])</f>
        <v/>
      </c>
      <c r="AP47" s="10">
        <f>Мособлдума_одномандатный_13[[#This Row],[Рожнов Олег Александрович]]-((AC$203/100)/(1-(AC$203/100)))*(Мособлдума_одномандатный_13[[#This Row],[Число действительных бюллетеней]]-Мособлдума_одномандатный_13[[#This Row],[Рожнов Олег Александрович]])</f>
        <v>542.69436997319031</v>
      </c>
      <c r="AQ47" s="10">
        <f>2*(Мособлдума_одномандатный_13[[#This Row],[Рожнов Олег Александрович]]-(AC$203/100)*Мособлдума_одномандатный_13[[#This Row],[Число действительных бюллетеней]])</f>
        <v>809.7</v>
      </c>
      <c r="AR47" s="10">
        <f>(Мособлдума_одномандатный_13[[#This Row],[Вброс]]+Мособлдума_одномандатный_13[[#This Row],[Перекладывание]])/2</f>
        <v>676.19718498659518</v>
      </c>
    </row>
    <row r="48" spans="2:44" x14ac:dyDescent="0.4">
      <c r="B48" t="s">
        <v>74</v>
      </c>
      <c r="C48" t="s">
        <v>102</v>
      </c>
      <c r="D48" t="s">
        <v>138</v>
      </c>
      <c r="E48" t="s">
        <v>176</v>
      </c>
      <c r="F48" s="1">
        <f t="shared" ca="1" si="14"/>
        <v>3914</v>
      </c>
      <c r="G48" s="8" t="str">
        <f>Дума_партии[[#This Row],[Местоположение]]</f>
        <v>Кубинка</v>
      </c>
      <c r="H48" s="2" t="str">
        <f>LEFT(Мособлдума_одномандатный_13[[#This Row],[tik]],4)&amp;"."&amp;IF(ISNUMBER(VALUE(RIGHT(Мособлдума_одномандатный_13[[#This Row],[tik]]))),RIGHT(Мособлдума_одномандатный_13[[#This Row],[tik]]),"")</f>
        <v>Один.</v>
      </c>
      <c r="I48">
        <v>439</v>
      </c>
      <c r="J48" s="8">
        <f>Мособлдума_одномандатный_13[[#This Row],[Число избирателей, внесенных в список на момент окончания голосования]]</f>
        <v>439</v>
      </c>
      <c r="K48">
        <v>400</v>
      </c>
      <c r="M48">
        <v>259</v>
      </c>
      <c r="N48">
        <v>20</v>
      </c>
      <c r="O48" s="3">
        <f t="shared" si="3"/>
        <v>63.553530751708429</v>
      </c>
      <c r="P48" s="3">
        <f t="shared" si="4"/>
        <v>4.5558086560364464</v>
      </c>
      <c r="Q48">
        <v>121</v>
      </c>
      <c r="R48">
        <v>20</v>
      </c>
      <c r="S48">
        <v>259</v>
      </c>
      <c r="T48" s="1">
        <f t="shared" si="5"/>
        <v>279</v>
      </c>
      <c r="U48" s="3">
        <f t="shared" si="6"/>
        <v>7.1684587813620073</v>
      </c>
      <c r="V48">
        <v>0</v>
      </c>
      <c r="W48" s="3">
        <f t="shared" si="7"/>
        <v>0</v>
      </c>
      <c r="X48">
        <v>279</v>
      </c>
      <c r="Y48">
        <v>0</v>
      </c>
      <c r="Z48">
        <v>0</v>
      </c>
      <c r="AA48">
        <v>53</v>
      </c>
      <c r="AB48" s="3">
        <f t="shared" si="8"/>
        <v>18.996415770609318</v>
      </c>
      <c r="AC48">
        <v>22</v>
      </c>
      <c r="AD48" s="3">
        <f t="shared" si="9"/>
        <v>7.8853046594982077</v>
      </c>
      <c r="AE48">
        <v>25</v>
      </c>
      <c r="AF48" s="3">
        <f t="shared" si="10"/>
        <v>8.9605734767025087</v>
      </c>
      <c r="AG48">
        <v>15</v>
      </c>
      <c r="AH48" s="3">
        <f t="shared" si="11"/>
        <v>5.376344086021505</v>
      </c>
      <c r="AI48">
        <v>17</v>
      </c>
      <c r="AJ48" s="3">
        <f t="shared" si="12"/>
        <v>6.0931899641577063</v>
      </c>
      <c r="AK48">
        <v>147</v>
      </c>
      <c r="AL48" s="3">
        <f t="shared" si="13"/>
        <v>52.688172043010752</v>
      </c>
      <c r="AM48" t="s">
        <v>369</v>
      </c>
      <c r="AN48" s="72" t="str">
        <f>Дума_партии[[#This Row],[КОИБ]]</f>
        <v>N</v>
      </c>
      <c r="AO48" s="1" t="str">
        <f>IF(Дума_партии[[#This Row],[Наблюдателей]]=0,"",Дума_партии[[#This Row],[Наблюдателей]])</f>
        <v/>
      </c>
      <c r="AP48" s="10">
        <f>Мособлдума_одномандатный_13[[#This Row],[Рожнов Олег Александрович]]-((AC$203/100)/(1-(AC$203/100)))*(Мособлдума_одномандатный_13[[#This Row],[Число действительных бюллетеней]]-Мособлдума_одномандатный_13[[#This Row],[Рожнов Олег Александрович]])</f>
        <v>102.05630026809652</v>
      </c>
      <c r="AQ48" s="10">
        <f>2*(Мособлдума_одномандатный_13[[#This Row],[Рожнов Олег Александрович]]-(AC$203/100)*Мособлдума_одномандатный_13[[#This Row],[Число действительных бюллетеней]])</f>
        <v>152.268</v>
      </c>
      <c r="AR48" s="10">
        <f>(Мособлдума_одномандатный_13[[#This Row],[Вброс]]+Мособлдума_одномандатный_13[[#This Row],[Перекладывание]])/2</f>
        <v>127.16215013404826</v>
      </c>
    </row>
    <row r="49" spans="2:44" x14ac:dyDescent="0.4">
      <c r="B49" t="s">
        <v>74</v>
      </c>
      <c r="C49" t="s">
        <v>102</v>
      </c>
      <c r="D49" t="s">
        <v>138</v>
      </c>
      <c r="E49" t="s">
        <v>177</v>
      </c>
      <c r="F49" s="1">
        <f t="shared" ca="1" si="14"/>
        <v>3915</v>
      </c>
      <c r="G49" s="8" t="str">
        <f>Дума_партии[[#This Row],[Местоположение]]</f>
        <v>Кубинка</v>
      </c>
      <c r="H49" s="2" t="str">
        <f>LEFT(Мособлдума_одномандатный_13[[#This Row],[tik]],4)&amp;"."&amp;IF(ISNUMBER(VALUE(RIGHT(Мособлдума_одномандатный_13[[#This Row],[tik]]))),RIGHT(Мособлдума_одномандатный_13[[#This Row],[tik]]),"")</f>
        <v>Один.</v>
      </c>
      <c r="I49">
        <v>1596</v>
      </c>
      <c r="J49" s="8">
        <f>Мособлдума_одномандатный_13[[#This Row],[Число избирателей, внесенных в список на момент окончания голосования]]</f>
        <v>1596</v>
      </c>
      <c r="K49">
        <v>1500</v>
      </c>
      <c r="M49">
        <v>602</v>
      </c>
      <c r="N49">
        <v>5</v>
      </c>
      <c r="O49" s="3">
        <f t="shared" si="3"/>
        <v>38.032581453634087</v>
      </c>
      <c r="P49" s="3">
        <f t="shared" si="4"/>
        <v>0.31328320802005011</v>
      </c>
      <c r="Q49">
        <v>893</v>
      </c>
      <c r="R49">
        <v>5</v>
      </c>
      <c r="S49">
        <v>602</v>
      </c>
      <c r="T49" s="1">
        <f t="shared" si="5"/>
        <v>607</v>
      </c>
      <c r="U49" s="3">
        <f t="shared" si="6"/>
        <v>0.82372322899505768</v>
      </c>
      <c r="V49">
        <v>43</v>
      </c>
      <c r="W49" s="3">
        <f t="shared" si="7"/>
        <v>7.0840197693574956</v>
      </c>
      <c r="X49">
        <v>564</v>
      </c>
      <c r="Y49">
        <v>0</v>
      </c>
      <c r="Z49">
        <v>0</v>
      </c>
      <c r="AA49">
        <v>150</v>
      </c>
      <c r="AB49" s="3">
        <f t="shared" si="8"/>
        <v>24.711696869851728</v>
      </c>
      <c r="AC49">
        <v>61</v>
      </c>
      <c r="AD49" s="3">
        <f t="shared" si="9"/>
        <v>10.049423393739703</v>
      </c>
      <c r="AE49">
        <v>79</v>
      </c>
      <c r="AF49" s="3">
        <f t="shared" si="10"/>
        <v>13.014827018121911</v>
      </c>
      <c r="AG49">
        <v>57</v>
      </c>
      <c r="AH49" s="3">
        <f t="shared" si="11"/>
        <v>9.3904448105436575</v>
      </c>
      <c r="AI49">
        <v>66</v>
      </c>
      <c r="AJ49" s="3">
        <f t="shared" si="12"/>
        <v>10.873146622734762</v>
      </c>
      <c r="AK49">
        <v>151</v>
      </c>
      <c r="AL49" s="3">
        <f t="shared" si="13"/>
        <v>24.87644151565074</v>
      </c>
      <c r="AM49" t="s">
        <v>369</v>
      </c>
      <c r="AN49" s="72">
        <f>Дума_партии[[#This Row],[КОИБ]]</f>
        <v>2017</v>
      </c>
      <c r="AO49" s="1" t="str">
        <f>IF(Дума_партии[[#This Row],[Наблюдателей]]=0,"",Дума_партии[[#This Row],[Наблюдателей]])</f>
        <v/>
      </c>
      <c r="AP49" s="10">
        <f>Мособлдума_одномандатный_13[[#This Row],[Рожнов Олег Александрович]]-((AC$203/100)/(1-(AC$203/100)))*(Мособлдума_одномандатный_13[[#This Row],[Число действительных бюллетеней]]-Мособлдума_одномандатный_13[[#This Row],[Рожнов Олег Александрович]])</f>
        <v>10.380697050938323</v>
      </c>
      <c r="AQ49" s="10">
        <f>2*(Мособлдума_одномандатный_13[[#This Row],[Рожнов Олег Александрович]]-(AC$203/100)*Мособлдума_одномандатный_13[[#This Row],[Число действительных бюллетеней]])</f>
        <v>15.488</v>
      </c>
      <c r="AR49" s="10">
        <f>(Мособлдума_одномандатный_13[[#This Row],[Вброс]]+Мособлдума_одномандатный_13[[#This Row],[Перекладывание]])/2</f>
        <v>12.934348525469161</v>
      </c>
    </row>
    <row r="50" spans="2:44" x14ac:dyDescent="0.4">
      <c r="B50" t="s">
        <v>74</v>
      </c>
      <c r="C50" t="s">
        <v>102</v>
      </c>
      <c r="D50" t="s">
        <v>138</v>
      </c>
      <c r="E50" t="s">
        <v>178</v>
      </c>
      <c r="F50" s="1">
        <f t="shared" ca="1" si="14"/>
        <v>3916</v>
      </c>
      <c r="G50" s="8" t="str">
        <f>Дума_партии[[#This Row],[Местоположение]]</f>
        <v>Кубинка</v>
      </c>
      <c r="H50" s="2" t="str">
        <f>LEFT(Мособлдума_одномандатный_13[[#This Row],[tik]],4)&amp;"."&amp;IF(ISNUMBER(VALUE(RIGHT(Мособлдума_одномандатный_13[[#This Row],[tik]]))),RIGHT(Мособлдума_одномандатный_13[[#This Row],[tik]]),"")</f>
        <v>Один.</v>
      </c>
      <c r="I50">
        <v>1548</v>
      </c>
      <c r="J50" s="8">
        <f>Мособлдума_одномандатный_13[[#This Row],[Число избирателей, внесенных в список на момент окончания голосования]]</f>
        <v>1548</v>
      </c>
      <c r="K50">
        <v>1400</v>
      </c>
      <c r="M50">
        <v>721</v>
      </c>
      <c r="N50">
        <v>4</v>
      </c>
      <c r="O50" s="3">
        <f t="shared" si="3"/>
        <v>46.834625322997418</v>
      </c>
      <c r="P50" s="3">
        <f t="shared" si="4"/>
        <v>0.25839793281653745</v>
      </c>
      <c r="Q50">
        <v>675</v>
      </c>
      <c r="R50">
        <v>4</v>
      </c>
      <c r="S50">
        <v>721</v>
      </c>
      <c r="T50" s="1">
        <f t="shared" si="5"/>
        <v>725</v>
      </c>
      <c r="U50" s="3">
        <f t="shared" si="6"/>
        <v>0.55172413793103448</v>
      </c>
      <c r="V50">
        <v>38</v>
      </c>
      <c r="W50" s="3">
        <f t="shared" si="7"/>
        <v>5.2413793103448274</v>
      </c>
      <c r="X50">
        <v>687</v>
      </c>
      <c r="Y50">
        <v>0</v>
      </c>
      <c r="Z50">
        <v>0</v>
      </c>
      <c r="AA50">
        <v>173</v>
      </c>
      <c r="AB50" s="3">
        <f t="shared" si="8"/>
        <v>23.862068965517242</v>
      </c>
      <c r="AC50">
        <v>60</v>
      </c>
      <c r="AD50" s="3">
        <f t="shared" si="9"/>
        <v>8.2758620689655178</v>
      </c>
      <c r="AE50">
        <v>78</v>
      </c>
      <c r="AF50" s="3">
        <f t="shared" si="10"/>
        <v>10.758620689655173</v>
      </c>
      <c r="AG50">
        <v>66</v>
      </c>
      <c r="AH50" s="3">
        <f t="shared" si="11"/>
        <v>9.1034482758620694</v>
      </c>
      <c r="AI50">
        <v>58</v>
      </c>
      <c r="AJ50" s="3">
        <f t="shared" si="12"/>
        <v>8</v>
      </c>
      <c r="AK50">
        <v>252</v>
      </c>
      <c r="AL50" s="3">
        <f t="shared" si="13"/>
        <v>34.758620689655174</v>
      </c>
      <c r="AM50" t="s">
        <v>369</v>
      </c>
      <c r="AN50" s="72">
        <f>Дума_партии[[#This Row],[КОИБ]]</f>
        <v>2017</v>
      </c>
      <c r="AO50" s="1" t="str">
        <f>IF(Дума_партии[[#This Row],[Наблюдателей]]=0,"",Дума_партии[[#This Row],[Наблюдателей]])</f>
        <v/>
      </c>
      <c r="AP50" s="10">
        <f>Мособлдума_одномандатный_13[[#This Row],[Рожнов Олег Александрович]]-((AC$203/100)/(1-(AC$203/100)))*(Мособлдума_одномандатный_13[[#This Row],[Число действительных бюллетеней]]-Мособлдума_одномандатный_13[[#This Row],[Рожнов Олег Александрович]])</f>
        <v>103.89008042895443</v>
      </c>
      <c r="AQ50" s="10">
        <f>2*(Мособлдума_одномандатный_13[[#This Row],[Рожнов Олег Александрович]]-(AC$203/100)*Мособлдума_одномандатный_13[[#This Row],[Число действительных бюллетеней]])</f>
        <v>155.00400000000002</v>
      </c>
      <c r="AR50" s="10">
        <f>(Мособлдума_одномандатный_13[[#This Row],[Вброс]]+Мособлдума_одномандатный_13[[#This Row],[Перекладывание]])/2</f>
        <v>129.44704021447723</v>
      </c>
    </row>
    <row r="51" spans="2:44" x14ac:dyDescent="0.4">
      <c r="B51" t="s">
        <v>74</v>
      </c>
      <c r="C51" t="s">
        <v>102</v>
      </c>
      <c r="D51" t="s">
        <v>138</v>
      </c>
      <c r="E51" t="s">
        <v>179</v>
      </c>
      <c r="F51" s="1">
        <f t="shared" ca="1" si="14"/>
        <v>3917</v>
      </c>
      <c r="G51" s="8" t="str">
        <f>Дума_партии[[#This Row],[Местоположение]]</f>
        <v>Кубинка</v>
      </c>
      <c r="H51" s="2" t="str">
        <f>LEFT(Мособлдума_одномандатный_13[[#This Row],[tik]],4)&amp;"."&amp;IF(ISNUMBER(VALUE(RIGHT(Мособлдума_одномандатный_13[[#This Row],[tik]]))),RIGHT(Мособлдума_одномандатный_13[[#This Row],[tik]]),"")</f>
        <v>Один.</v>
      </c>
      <c r="I51">
        <v>2222</v>
      </c>
      <c r="J51" s="8">
        <f>Мособлдума_одномандатный_13[[#This Row],[Число избирателей, внесенных в список на момент окончания голосования]]</f>
        <v>2222</v>
      </c>
      <c r="K51">
        <v>1800</v>
      </c>
      <c r="M51">
        <v>1213</v>
      </c>
      <c r="N51">
        <v>4</v>
      </c>
      <c r="O51" s="3">
        <f t="shared" si="3"/>
        <v>54.770477047704773</v>
      </c>
      <c r="P51" s="3">
        <f t="shared" si="4"/>
        <v>0.18001800180018002</v>
      </c>
      <c r="Q51">
        <v>583</v>
      </c>
      <c r="R51">
        <v>4</v>
      </c>
      <c r="S51">
        <v>1196</v>
      </c>
      <c r="T51" s="1">
        <f t="shared" si="5"/>
        <v>1200</v>
      </c>
      <c r="U51" s="3">
        <f t="shared" si="6"/>
        <v>0.33333333333333331</v>
      </c>
      <c r="V51">
        <v>65</v>
      </c>
      <c r="W51" s="3">
        <f t="shared" si="7"/>
        <v>5.416666666666667</v>
      </c>
      <c r="X51">
        <v>1135</v>
      </c>
      <c r="Y51">
        <v>0</v>
      </c>
      <c r="Z51">
        <v>0</v>
      </c>
      <c r="AA51">
        <v>273</v>
      </c>
      <c r="AB51" s="3">
        <f t="shared" si="8"/>
        <v>22.75</v>
      </c>
      <c r="AC51">
        <v>75</v>
      </c>
      <c r="AD51" s="3">
        <f t="shared" si="9"/>
        <v>6.25</v>
      </c>
      <c r="AE51">
        <v>117</v>
      </c>
      <c r="AF51" s="3">
        <f t="shared" si="10"/>
        <v>9.75</v>
      </c>
      <c r="AG51">
        <v>66</v>
      </c>
      <c r="AH51" s="3">
        <f t="shared" si="11"/>
        <v>5.5</v>
      </c>
      <c r="AI51">
        <v>76</v>
      </c>
      <c r="AJ51" s="3">
        <f t="shared" si="12"/>
        <v>6.333333333333333</v>
      </c>
      <c r="AK51">
        <v>528</v>
      </c>
      <c r="AL51" s="3">
        <f t="shared" si="13"/>
        <v>44</v>
      </c>
      <c r="AM51" t="s">
        <v>369</v>
      </c>
      <c r="AN51" s="72">
        <f>Дума_партии[[#This Row],[КОИБ]]</f>
        <v>2017</v>
      </c>
      <c r="AO51" s="1" t="str">
        <f>IF(Дума_партии[[#This Row],[Наблюдателей]]=0,"",Дума_партии[[#This Row],[Наблюдателей]])</f>
        <v/>
      </c>
      <c r="AP51" s="10">
        <f>Мособлдума_одномандатный_13[[#This Row],[Рожнов Олег Александрович]]-((AC$203/100)/(1-(AC$203/100)))*(Мособлдума_одномандатный_13[[#This Row],[Число действительных бюллетеней]]-Мособлдума_одномандатный_13[[#This Row],[Рожнов Олег Александрович]])</f>
        <v>321.32707774798928</v>
      </c>
      <c r="AQ51" s="10">
        <f>2*(Мособлдума_одномандатный_13[[#This Row],[Рожнов Олег Александрович]]-(AC$203/100)*Мособлдума_одномандатный_13[[#This Row],[Число действительных бюллетеней]])</f>
        <v>479.41999999999996</v>
      </c>
      <c r="AR51" s="10">
        <f>(Мособлдума_одномандатный_13[[#This Row],[Вброс]]+Мособлдума_одномандатный_13[[#This Row],[Перекладывание]])/2</f>
        <v>400.37353887399462</v>
      </c>
    </row>
    <row r="52" spans="2:44" x14ac:dyDescent="0.4">
      <c r="B52" t="s">
        <v>74</v>
      </c>
      <c r="C52" t="s">
        <v>102</v>
      </c>
      <c r="D52" t="s">
        <v>138</v>
      </c>
      <c r="E52" t="s">
        <v>180</v>
      </c>
      <c r="F52" s="1">
        <f t="shared" ca="1" si="14"/>
        <v>3919</v>
      </c>
      <c r="G52" s="8" t="str">
        <f>Дума_партии[[#This Row],[Местоположение]]</f>
        <v>Чупряково</v>
      </c>
      <c r="H52" s="2" t="str">
        <f>LEFT(Мособлдума_одномандатный_13[[#This Row],[tik]],4)&amp;"."&amp;IF(ISNUMBER(VALUE(RIGHT(Мособлдума_одномандатный_13[[#This Row],[tik]]))),RIGHT(Мособлдума_одномандатный_13[[#This Row],[tik]]),"")</f>
        <v>Один.</v>
      </c>
      <c r="I52">
        <v>1888</v>
      </c>
      <c r="J52" s="8">
        <f>Мособлдума_одномандатный_13[[#This Row],[Число избирателей, внесенных в список на момент окончания голосования]]</f>
        <v>1888</v>
      </c>
      <c r="K52">
        <v>1500</v>
      </c>
      <c r="M52">
        <v>623</v>
      </c>
      <c r="N52">
        <v>129</v>
      </c>
      <c r="O52" s="3">
        <f t="shared" si="3"/>
        <v>39.83050847457627</v>
      </c>
      <c r="P52" s="3">
        <f t="shared" si="4"/>
        <v>6.8326271186440675</v>
      </c>
      <c r="Q52">
        <v>748</v>
      </c>
      <c r="R52">
        <v>129</v>
      </c>
      <c r="S52">
        <v>623</v>
      </c>
      <c r="T52" s="1">
        <f t="shared" si="5"/>
        <v>752</v>
      </c>
      <c r="U52" s="3">
        <f t="shared" si="6"/>
        <v>17.154255319148938</v>
      </c>
      <c r="V52">
        <v>37</v>
      </c>
      <c r="W52" s="3">
        <f t="shared" si="7"/>
        <v>4.9202127659574471</v>
      </c>
      <c r="X52">
        <v>715</v>
      </c>
      <c r="Y52">
        <v>0</v>
      </c>
      <c r="Z52">
        <v>0</v>
      </c>
      <c r="AA52">
        <v>168</v>
      </c>
      <c r="AB52" s="3">
        <f t="shared" si="8"/>
        <v>22.340425531914892</v>
      </c>
      <c r="AC52">
        <v>74</v>
      </c>
      <c r="AD52" s="3">
        <f t="shared" si="9"/>
        <v>9.8404255319148941</v>
      </c>
      <c r="AE52">
        <v>65</v>
      </c>
      <c r="AF52" s="3">
        <f t="shared" si="10"/>
        <v>8.6436170212765955</v>
      </c>
      <c r="AG52">
        <v>43</v>
      </c>
      <c r="AH52" s="3">
        <f t="shared" si="11"/>
        <v>5.7180851063829783</v>
      </c>
      <c r="AI52">
        <v>57</v>
      </c>
      <c r="AJ52" s="3">
        <f t="shared" si="12"/>
        <v>7.5797872340425529</v>
      </c>
      <c r="AK52">
        <v>308</v>
      </c>
      <c r="AL52" s="3">
        <f t="shared" si="13"/>
        <v>40.957446808510639</v>
      </c>
      <c r="AM52" t="s">
        <v>369</v>
      </c>
      <c r="AN52" s="72">
        <f>Дума_партии[[#This Row],[КОИБ]]</f>
        <v>2017</v>
      </c>
      <c r="AO52" s="1" t="str">
        <f>IF(Дума_партии[[#This Row],[Наблюдателей]]=0,"",Дума_партии[[#This Row],[Наблюдателей]])</f>
        <v/>
      </c>
      <c r="AP52" s="10">
        <f>Мособлдума_одномандатный_13[[#This Row],[Рожнов Олег Александрович]]-((AC$203/100)/(1-(AC$203/100)))*(Мособлдума_одномандатный_13[[#This Row],[Число действительных бюллетеней]]-Мособлдума_одномандатный_13[[#This Row],[Рожнов Олег Александрович]])</f>
        <v>169.42359249329758</v>
      </c>
      <c r="AQ52" s="10">
        <f>2*(Мособлдума_одномандатный_13[[#This Row],[Рожнов Олег Александрович]]-(AC$203/100)*Мособлдума_одномандатный_13[[#This Row],[Число действительных бюллетеней]])</f>
        <v>252.77999999999997</v>
      </c>
      <c r="AR52" s="10">
        <f>(Мособлдума_одномандатный_13[[#This Row],[Вброс]]+Мособлдума_одномандатный_13[[#This Row],[Перекладывание]])/2</f>
        <v>211.10179624664877</v>
      </c>
    </row>
    <row r="53" spans="2:44" x14ac:dyDescent="0.4">
      <c r="B53" t="s">
        <v>74</v>
      </c>
      <c r="C53" t="s">
        <v>102</v>
      </c>
      <c r="D53" t="s">
        <v>138</v>
      </c>
      <c r="E53" t="s">
        <v>181</v>
      </c>
      <c r="F53" s="1">
        <f t="shared" ca="1" si="14"/>
        <v>3921</v>
      </c>
      <c r="G53" s="8" t="str">
        <f>Дума_партии[[#This Row],[Местоположение]]</f>
        <v>Кубинка</v>
      </c>
      <c r="H53" s="2" t="str">
        <f>LEFT(Мособлдума_одномандатный_13[[#This Row],[tik]],4)&amp;"."&amp;IF(ISNUMBER(VALUE(RIGHT(Мособлдума_одномандатный_13[[#This Row],[tik]]))),RIGHT(Мособлдума_одномандатный_13[[#This Row],[tik]]),"")</f>
        <v>Один.</v>
      </c>
      <c r="I53">
        <v>1665</v>
      </c>
      <c r="J53" s="8">
        <f>Мособлдума_одномандатный_13[[#This Row],[Число избирателей, внесенных в список на момент окончания голосования]]</f>
        <v>1665</v>
      </c>
      <c r="K53">
        <v>1500</v>
      </c>
      <c r="M53">
        <v>607</v>
      </c>
      <c r="N53">
        <v>5</v>
      </c>
      <c r="O53" s="3">
        <f t="shared" si="3"/>
        <v>36.756756756756758</v>
      </c>
      <c r="P53" s="3">
        <f t="shared" si="4"/>
        <v>0.3003003003003003</v>
      </c>
      <c r="Q53">
        <v>888</v>
      </c>
      <c r="R53">
        <v>5</v>
      </c>
      <c r="S53">
        <v>606</v>
      </c>
      <c r="T53" s="1">
        <f t="shared" si="5"/>
        <v>611</v>
      </c>
      <c r="U53" s="3">
        <f t="shared" si="6"/>
        <v>0.81833060556464809</v>
      </c>
      <c r="V53">
        <v>43</v>
      </c>
      <c r="W53" s="3">
        <f t="shared" si="7"/>
        <v>7.0376432078559734</v>
      </c>
      <c r="X53">
        <v>568</v>
      </c>
      <c r="Y53">
        <v>0</v>
      </c>
      <c r="Z53">
        <v>0</v>
      </c>
      <c r="AA53">
        <v>159</v>
      </c>
      <c r="AB53" s="3">
        <f t="shared" si="8"/>
        <v>26.02291325695581</v>
      </c>
      <c r="AC53">
        <v>59</v>
      </c>
      <c r="AD53" s="3">
        <f t="shared" si="9"/>
        <v>9.656301145662848</v>
      </c>
      <c r="AE53">
        <v>86</v>
      </c>
      <c r="AF53" s="3">
        <f t="shared" si="10"/>
        <v>14.075286415711947</v>
      </c>
      <c r="AG53">
        <v>58</v>
      </c>
      <c r="AH53" s="3">
        <f t="shared" si="11"/>
        <v>9.4926350245499176</v>
      </c>
      <c r="AI53">
        <v>52</v>
      </c>
      <c r="AJ53" s="3">
        <f t="shared" si="12"/>
        <v>8.5106382978723403</v>
      </c>
      <c r="AK53">
        <v>154</v>
      </c>
      <c r="AL53" s="3">
        <f t="shared" si="13"/>
        <v>25.204582651391163</v>
      </c>
      <c r="AM53" t="s">
        <v>369</v>
      </c>
      <c r="AN53" s="72">
        <f>Дума_партии[[#This Row],[КОИБ]]</f>
        <v>2017</v>
      </c>
      <c r="AO53" s="1" t="str">
        <f>IF(Дума_партии[[#This Row],[Наблюдателей]]=0,"",Дума_партии[[#This Row],[Наблюдателей]])</f>
        <v/>
      </c>
      <c r="AP53" s="10">
        <f>Мособлдума_одномандатный_13[[#This Row],[Рожнов Олег Александрович]]-((AC$203/100)/(1-(AC$203/100)))*(Мособлдума_одномандатный_13[[#This Row],[Число действительных бюллетеней]]-Мособлдума_одномандатный_13[[#This Row],[Рожнов Олег Александрович]])</f>
        <v>13.040214477211805</v>
      </c>
      <c r="AQ53" s="10">
        <f>2*(Мособлдума_одномандатный_13[[#This Row],[Рожнов Олег Александрович]]-(AC$203/100)*Мособлдума_одномандатный_13[[#This Row],[Число действительных бюллетеней]])</f>
        <v>19.456000000000017</v>
      </c>
      <c r="AR53" s="10">
        <f>(Мособлдума_одномандатный_13[[#This Row],[Вброс]]+Мособлдума_одномандатный_13[[#This Row],[Перекладывание]])/2</f>
        <v>16.248107238605911</v>
      </c>
    </row>
    <row r="54" spans="2:44" s="3" customFormat="1" x14ac:dyDescent="0.4">
      <c r="B54" t="s">
        <v>74</v>
      </c>
      <c r="C54" t="s">
        <v>102</v>
      </c>
      <c r="D54" t="s">
        <v>138</v>
      </c>
      <c r="E54" t="s">
        <v>182</v>
      </c>
      <c r="F54" s="1">
        <f t="shared" ca="1" si="14"/>
        <v>3923</v>
      </c>
      <c r="G54" s="8" t="str">
        <f>Дума_партии[[#This Row],[Местоположение]]</f>
        <v>Кубинка</v>
      </c>
      <c r="H54" s="2" t="str">
        <f>LEFT(Мособлдума_одномандатный_13[[#This Row],[tik]],4)&amp;"."&amp;IF(ISNUMBER(VALUE(RIGHT(Мособлдума_одномандатный_13[[#This Row],[tik]]))),RIGHT(Мособлдума_одномандатный_13[[#This Row],[tik]]),"")</f>
        <v>Один.</v>
      </c>
      <c r="I54">
        <v>1691</v>
      </c>
      <c r="J54" s="8">
        <f>Мособлдума_одномандатный_13[[#This Row],[Число избирателей, внесенных в список на момент окончания голосования]]</f>
        <v>1691</v>
      </c>
      <c r="K54">
        <v>1500</v>
      </c>
      <c r="L54" s="1"/>
      <c r="M54">
        <v>698</v>
      </c>
      <c r="N54">
        <v>5</v>
      </c>
      <c r="O54" s="3">
        <f t="shared" si="3"/>
        <v>41.573033707865171</v>
      </c>
      <c r="P54" s="3">
        <f t="shared" si="4"/>
        <v>0.29568302779420463</v>
      </c>
      <c r="Q54">
        <v>797</v>
      </c>
      <c r="R54">
        <v>5</v>
      </c>
      <c r="S54">
        <v>698</v>
      </c>
      <c r="T54" s="1">
        <f t="shared" si="5"/>
        <v>703</v>
      </c>
      <c r="U54" s="3">
        <f t="shared" si="6"/>
        <v>0.71123755334281646</v>
      </c>
      <c r="V54">
        <v>69</v>
      </c>
      <c r="W54" s="3">
        <f t="shared" si="7"/>
        <v>9.8150782361308675</v>
      </c>
      <c r="X54">
        <v>634</v>
      </c>
      <c r="Y54">
        <v>0</v>
      </c>
      <c r="Z54">
        <v>0</v>
      </c>
      <c r="AA54">
        <v>194</v>
      </c>
      <c r="AB54" s="3">
        <f t="shared" si="8"/>
        <v>27.596017069701279</v>
      </c>
      <c r="AC54">
        <v>60</v>
      </c>
      <c r="AD54" s="3">
        <f t="shared" si="9"/>
        <v>8.5348506401137971</v>
      </c>
      <c r="AE54">
        <v>81</v>
      </c>
      <c r="AF54" s="3">
        <f t="shared" si="10"/>
        <v>11.522048364153628</v>
      </c>
      <c r="AG54">
        <v>60</v>
      </c>
      <c r="AH54" s="3">
        <f t="shared" si="11"/>
        <v>8.5348506401137971</v>
      </c>
      <c r="AI54">
        <v>62</v>
      </c>
      <c r="AJ54" s="3">
        <f t="shared" si="12"/>
        <v>8.8193456614509245</v>
      </c>
      <c r="AK54">
        <v>177</v>
      </c>
      <c r="AL54" s="3">
        <f t="shared" si="13"/>
        <v>25.177809388335703</v>
      </c>
      <c r="AM54" t="s">
        <v>369</v>
      </c>
      <c r="AN54" s="72">
        <f>Дума_партии[[#This Row],[КОИБ]]</f>
        <v>2017</v>
      </c>
      <c r="AO54" s="1">
        <f>IF(Дума_партии[[#This Row],[Наблюдателей]]=0,"",Дума_партии[[#This Row],[Наблюдателей]])</f>
        <v>1</v>
      </c>
      <c r="AP54" s="10">
        <f>Мособлдума_одномандатный_13[[#This Row],[Рожнов Олег Александрович]]-((AC$203/100)/(1-(AC$203/100)))*(Мособлдума_одномандатный_13[[#This Row],[Число действительных бюллетеней]]-Мособлдума_одномандатный_13[[#This Row],[Рожнов Олег Александрович]])</f>
        <v>21.399463806970516</v>
      </c>
      <c r="AQ54" s="10">
        <f>2*(Мособлдума_одномандатный_13[[#This Row],[Рожнов Олег Александрович]]-(AC$203/100)*Мособлдума_одномандатный_13[[#This Row],[Число действительных бюллетеней]])</f>
        <v>31.927999999999997</v>
      </c>
      <c r="AR54" s="10">
        <f>(Мособлдума_одномандатный_13[[#This Row],[Вброс]]+Мособлдума_одномандатный_13[[#This Row],[Перекладывание]])/2</f>
        <v>26.663731903485257</v>
      </c>
    </row>
    <row r="55" spans="2:44" s="3" customFormat="1" x14ac:dyDescent="0.4">
      <c r="B55" t="s">
        <v>74</v>
      </c>
      <c r="C55" t="s">
        <v>102</v>
      </c>
      <c r="D55" t="s">
        <v>138</v>
      </c>
      <c r="E55" t="s">
        <v>183</v>
      </c>
      <c r="F55" s="1">
        <f t="shared" ca="1" si="14"/>
        <v>3925</v>
      </c>
      <c r="G55" s="8" t="str">
        <f>Дума_партии[[#This Row],[Местоположение]]</f>
        <v>Дубки</v>
      </c>
      <c r="H55" s="2" t="str">
        <f>LEFT(Мособлдума_одномандатный_13[[#This Row],[tik]],4)&amp;"."&amp;IF(ISNUMBER(VALUE(RIGHT(Мособлдума_одномандатный_13[[#This Row],[tik]]))),RIGHT(Мособлдума_одномандатный_13[[#This Row],[tik]]),"")</f>
        <v>Один.</v>
      </c>
      <c r="I55">
        <v>517</v>
      </c>
      <c r="J55" s="8">
        <f>Мособлдума_одномандатный_13[[#This Row],[Число избирателей, внесенных в список на момент окончания голосования]]</f>
        <v>517</v>
      </c>
      <c r="K55">
        <v>500</v>
      </c>
      <c r="L55" s="1"/>
      <c r="M55">
        <v>137</v>
      </c>
      <c r="N55">
        <v>266</v>
      </c>
      <c r="O55" s="3">
        <f t="shared" si="3"/>
        <v>77.949709864603477</v>
      </c>
      <c r="P55" s="3">
        <f t="shared" si="4"/>
        <v>51.450676982591879</v>
      </c>
      <c r="Q55">
        <v>97</v>
      </c>
      <c r="R55">
        <v>266</v>
      </c>
      <c r="S55">
        <v>137</v>
      </c>
      <c r="T55" s="1">
        <f t="shared" si="5"/>
        <v>403</v>
      </c>
      <c r="U55" s="3">
        <f t="shared" si="6"/>
        <v>66.00496277915633</v>
      </c>
      <c r="V55">
        <v>9</v>
      </c>
      <c r="W55" s="3">
        <f t="shared" si="7"/>
        <v>2.2332506203473947</v>
      </c>
      <c r="X55">
        <v>394</v>
      </c>
      <c r="Y55">
        <v>0</v>
      </c>
      <c r="Z55">
        <v>0</v>
      </c>
      <c r="AA55">
        <v>133</v>
      </c>
      <c r="AB55" s="3">
        <f t="shared" si="8"/>
        <v>33.002481389578165</v>
      </c>
      <c r="AC55">
        <v>21</v>
      </c>
      <c r="AD55" s="3">
        <f t="shared" si="9"/>
        <v>5.2109181141439205</v>
      </c>
      <c r="AE55">
        <v>39</v>
      </c>
      <c r="AF55" s="3">
        <f t="shared" si="10"/>
        <v>9.67741935483871</v>
      </c>
      <c r="AG55">
        <v>11</v>
      </c>
      <c r="AH55" s="3">
        <f t="shared" si="11"/>
        <v>2.7295285359801489</v>
      </c>
      <c r="AI55">
        <v>20</v>
      </c>
      <c r="AJ55" s="3">
        <f t="shared" si="12"/>
        <v>4.9627791563275432</v>
      </c>
      <c r="AK55">
        <v>170</v>
      </c>
      <c r="AL55" s="3">
        <f t="shared" si="13"/>
        <v>42.183622828784117</v>
      </c>
      <c r="AM55" t="s">
        <v>369</v>
      </c>
      <c r="AN55" s="72" t="str">
        <f>Дума_партии[[#This Row],[КОИБ]]</f>
        <v>N</v>
      </c>
      <c r="AO55" s="1" t="str">
        <f>IF(Дума_партии[[#This Row],[Наблюдателей]]=0,"",Дума_партии[[#This Row],[Наблюдателей]])</f>
        <v/>
      </c>
      <c r="AP55" s="10">
        <f>Мособлдума_одномандатный_13[[#This Row],[Рожнов Олег Александрович]]-((AC$203/100)/(1-(AC$203/100)))*(Мособлдума_одномандатный_13[[#This Row],[Число действительных бюллетеней]]-Мособлдума_одномандатный_13[[#This Row],[Рожнов Олег Александрович]])</f>
        <v>93.731903485254691</v>
      </c>
      <c r="AQ55" s="10">
        <f>2*(Мособлдума_одномандатный_13[[#This Row],[Рожнов Олег Александрович]]-(AC$203/100)*Мособлдума_одномандатный_13[[#This Row],[Число действительных бюллетеней]])</f>
        <v>139.84799999999998</v>
      </c>
      <c r="AR55" s="10">
        <f>(Мособлдума_одномандатный_13[[#This Row],[Вброс]]+Мособлдума_одномандатный_13[[#This Row],[Перекладывание]])/2</f>
        <v>116.78995174262734</v>
      </c>
    </row>
    <row r="56" spans="2:44" s="37" customFormat="1" hidden="1" x14ac:dyDescent="0.4">
      <c r="B56" s="33"/>
      <c r="C56" s="33"/>
      <c r="D56" s="33"/>
      <c r="E56" s="33"/>
      <c r="F56" s="33"/>
      <c r="G56" s="36"/>
      <c r="H56" s="40"/>
      <c r="I56" s="33"/>
      <c r="J56" s="36"/>
      <c r="K56" s="33"/>
      <c r="L56" s="33"/>
      <c r="M56" s="33"/>
      <c r="N56" s="33"/>
      <c r="Q56" s="33"/>
      <c r="R56" s="33"/>
      <c r="S56" s="33"/>
      <c r="T56" s="33"/>
      <c r="V56" s="33"/>
      <c r="X56" s="33"/>
      <c r="Y56" s="33"/>
      <c r="Z56" s="33"/>
      <c r="AA56" s="33"/>
      <c r="AC56" s="33"/>
      <c r="AE56" s="33"/>
      <c r="AG56" s="33"/>
      <c r="AI56" s="33"/>
      <c r="AK56" s="33"/>
      <c r="AM56" s="33"/>
      <c r="AN56" s="33"/>
      <c r="AO56" s="33"/>
      <c r="AP56" s="41"/>
      <c r="AQ56" s="41"/>
      <c r="AR56" s="41"/>
    </row>
    <row r="57" spans="2:44" s="37" customFormat="1" hidden="1" x14ac:dyDescent="0.4">
      <c r="B57" s="33"/>
      <c r="C57" s="33"/>
      <c r="D57" s="33"/>
      <c r="E57" s="33"/>
      <c r="F57" s="33"/>
      <c r="G57" s="36"/>
      <c r="H57" s="40"/>
      <c r="I57" s="33"/>
      <c r="J57" s="36"/>
      <c r="K57" s="33"/>
      <c r="L57" s="33"/>
      <c r="M57" s="33"/>
      <c r="N57" s="33"/>
      <c r="Q57" s="33"/>
      <c r="R57" s="33"/>
      <c r="S57" s="33"/>
      <c r="T57" s="33"/>
      <c r="V57" s="33"/>
      <c r="X57" s="33"/>
      <c r="Y57" s="33"/>
      <c r="Z57" s="33"/>
      <c r="AA57" s="33"/>
      <c r="AC57" s="33"/>
      <c r="AE57" s="33"/>
      <c r="AG57" s="33"/>
      <c r="AI57" s="33"/>
      <c r="AK57" s="33"/>
      <c r="AM57" s="33"/>
      <c r="AN57" s="33"/>
      <c r="AO57" s="33"/>
      <c r="AP57" s="41"/>
      <c r="AQ57" s="41"/>
      <c r="AR57" s="41"/>
    </row>
    <row r="58" spans="2:44" s="37" customFormat="1" hidden="1" x14ac:dyDescent="0.4">
      <c r="B58" s="33"/>
      <c r="C58" s="33"/>
      <c r="D58" s="33"/>
      <c r="E58" s="33"/>
      <c r="F58" s="33"/>
      <c r="G58" s="36"/>
      <c r="H58" s="40"/>
      <c r="I58" s="33"/>
      <c r="J58" s="36"/>
      <c r="K58" s="33"/>
      <c r="L58" s="33"/>
      <c r="M58" s="33"/>
      <c r="N58" s="33"/>
      <c r="Q58" s="33"/>
      <c r="R58" s="33"/>
      <c r="S58" s="33"/>
      <c r="T58" s="33"/>
      <c r="V58" s="33"/>
      <c r="X58" s="33"/>
      <c r="Y58" s="33"/>
      <c r="Z58" s="33"/>
      <c r="AA58" s="33"/>
      <c r="AC58" s="33"/>
      <c r="AE58" s="33"/>
      <c r="AG58" s="33"/>
      <c r="AI58" s="33"/>
      <c r="AK58" s="33"/>
      <c r="AM58" s="33"/>
      <c r="AN58" s="33"/>
      <c r="AO58" s="33"/>
      <c r="AP58" s="41"/>
      <c r="AQ58" s="41"/>
      <c r="AR58" s="41"/>
    </row>
    <row r="59" spans="2:44" s="37" customFormat="1" hidden="1" x14ac:dyDescent="0.4">
      <c r="B59" s="33"/>
      <c r="C59" s="33"/>
      <c r="D59" s="33"/>
      <c r="E59" s="33"/>
      <c r="F59" s="33"/>
      <c r="G59" s="36"/>
      <c r="H59" s="40"/>
      <c r="I59" s="33"/>
      <c r="J59" s="36"/>
      <c r="K59" s="33"/>
      <c r="L59" s="33"/>
      <c r="M59" s="33"/>
      <c r="N59" s="33"/>
      <c r="Q59" s="33"/>
      <c r="R59" s="33"/>
      <c r="S59" s="33"/>
      <c r="T59" s="33"/>
      <c r="V59" s="33"/>
      <c r="X59" s="33"/>
      <c r="Y59" s="33"/>
      <c r="Z59" s="33"/>
      <c r="AA59" s="33"/>
      <c r="AC59" s="33"/>
      <c r="AE59" s="33"/>
      <c r="AG59" s="33"/>
      <c r="AI59" s="33"/>
      <c r="AK59" s="33"/>
      <c r="AM59" s="33"/>
      <c r="AN59" s="33"/>
      <c r="AO59" s="33"/>
      <c r="AP59" s="41"/>
      <c r="AQ59" s="41"/>
      <c r="AR59" s="41"/>
    </row>
    <row r="60" spans="2:44" s="37" customFormat="1" hidden="1" x14ac:dyDescent="0.4">
      <c r="B60" s="33"/>
      <c r="C60" s="33"/>
      <c r="D60" s="33"/>
      <c r="E60" s="33"/>
      <c r="F60" s="33"/>
      <c r="G60" s="36"/>
      <c r="H60" s="40"/>
      <c r="I60" s="33"/>
      <c r="J60" s="36"/>
      <c r="K60" s="33"/>
      <c r="L60" s="33"/>
      <c r="M60" s="33"/>
      <c r="N60" s="33"/>
      <c r="Q60" s="33"/>
      <c r="R60" s="33"/>
      <c r="S60" s="33"/>
      <c r="T60" s="33"/>
      <c r="V60" s="33"/>
      <c r="X60" s="33"/>
      <c r="Y60" s="33"/>
      <c r="Z60" s="33"/>
      <c r="AA60" s="33"/>
      <c r="AC60" s="33"/>
      <c r="AE60" s="33"/>
      <c r="AG60" s="33"/>
      <c r="AI60" s="33"/>
      <c r="AK60" s="33"/>
      <c r="AM60" s="33"/>
      <c r="AN60" s="33"/>
      <c r="AO60" s="33"/>
      <c r="AP60" s="41"/>
      <c r="AQ60" s="41"/>
      <c r="AR60" s="41"/>
    </row>
    <row r="61" spans="2:44" s="37" customFormat="1" hidden="1" x14ac:dyDescent="0.4">
      <c r="B61" s="33"/>
      <c r="C61" s="33"/>
      <c r="D61" s="33"/>
      <c r="E61" s="33"/>
      <c r="F61" s="33"/>
      <c r="G61" s="36"/>
      <c r="H61" s="40"/>
      <c r="I61" s="33"/>
      <c r="J61" s="36"/>
      <c r="K61" s="33"/>
      <c r="L61" s="33"/>
      <c r="M61" s="33"/>
      <c r="N61" s="33"/>
      <c r="Q61" s="33"/>
      <c r="R61" s="33"/>
      <c r="S61" s="33"/>
      <c r="T61" s="33"/>
      <c r="V61" s="33"/>
      <c r="X61" s="33"/>
      <c r="Y61" s="33"/>
      <c r="Z61" s="33"/>
      <c r="AA61" s="33"/>
      <c r="AC61" s="33"/>
      <c r="AE61" s="33"/>
      <c r="AG61" s="33"/>
      <c r="AI61" s="33"/>
      <c r="AK61" s="33"/>
      <c r="AM61" s="33"/>
      <c r="AN61" s="33"/>
      <c r="AO61" s="33"/>
      <c r="AP61" s="41"/>
      <c r="AQ61" s="41"/>
      <c r="AR61" s="41"/>
    </row>
    <row r="62" spans="2:44" s="37" customFormat="1" hidden="1" x14ac:dyDescent="0.4">
      <c r="B62" s="33"/>
      <c r="C62" s="33"/>
      <c r="D62" s="33"/>
      <c r="E62" s="33"/>
      <c r="F62" s="33"/>
      <c r="G62" s="36"/>
      <c r="H62" s="40"/>
      <c r="I62" s="33"/>
      <c r="J62" s="36"/>
      <c r="K62" s="33"/>
      <c r="L62" s="33"/>
      <c r="M62" s="33"/>
      <c r="N62" s="33"/>
      <c r="Q62" s="33"/>
      <c r="R62" s="33"/>
      <c r="S62" s="33"/>
      <c r="T62" s="33"/>
      <c r="V62" s="33"/>
      <c r="X62" s="33"/>
      <c r="Y62" s="33"/>
      <c r="Z62" s="33"/>
      <c r="AA62" s="33"/>
      <c r="AC62" s="33"/>
      <c r="AE62" s="33"/>
      <c r="AG62" s="33"/>
      <c r="AI62" s="33"/>
      <c r="AK62" s="33"/>
      <c r="AM62" s="33"/>
      <c r="AN62" s="33"/>
      <c r="AO62" s="33"/>
      <c r="AP62" s="41"/>
      <c r="AQ62" s="41"/>
      <c r="AR62" s="41"/>
    </row>
    <row r="63" spans="2:44" s="37" customFormat="1" hidden="1" x14ac:dyDescent="0.4">
      <c r="B63" s="33"/>
      <c r="C63" s="33"/>
      <c r="D63" s="33"/>
      <c r="E63" s="33"/>
      <c r="F63" s="33"/>
      <c r="G63" s="36"/>
      <c r="H63" s="40"/>
      <c r="I63" s="33"/>
      <c r="J63" s="36"/>
      <c r="K63" s="33"/>
      <c r="L63" s="33"/>
      <c r="M63" s="33"/>
      <c r="N63" s="33"/>
      <c r="Q63" s="33"/>
      <c r="R63" s="33"/>
      <c r="S63" s="33"/>
      <c r="T63" s="33"/>
      <c r="V63" s="33"/>
      <c r="X63" s="33"/>
      <c r="Y63" s="33"/>
      <c r="Z63" s="33"/>
      <c r="AA63" s="33"/>
      <c r="AC63" s="33"/>
      <c r="AE63" s="33"/>
      <c r="AG63" s="33"/>
      <c r="AI63" s="33"/>
      <c r="AK63" s="33"/>
      <c r="AM63" s="33"/>
      <c r="AN63" s="33"/>
      <c r="AO63" s="33"/>
      <c r="AP63" s="41"/>
      <c r="AQ63" s="41"/>
      <c r="AR63" s="41"/>
    </row>
    <row r="64" spans="2:44" s="37" customFormat="1" hidden="1" x14ac:dyDescent="0.4">
      <c r="B64" s="33"/>
      <c r="C64" s="33"/>
      <c r="D64" s="33"/>
      <c r="E64" s="33"/>
      <c r="F64" s="33"/>
      <c r="G64" s="36"/>
      <c r="H64" s="40"/>
      <c r="I64" s="33"/>
      <c r="J64" s="36"/>
      <c r="K64" s="33"/>
      <c r="L64" s="33"/>
      <c r="M64" s="33"/>
      <c r="N64" s="33"/>
      <c r="Q64" s="33"/>
      <c r="R64" s="33"/>
      <c r="S64" s="33"/>
      <c r="T64" s="33"/>
      <c r="V64" s="33"/>
      <c r="X64" s="33"/>
      <c r="Y64" s="33"/>
      <c r="Z64" s="33"/>
      <c r="AA64" s="33"/>
      <c r="AC64" s="33"/>
      <c r="AE64" s="33"/>
      <c r="AG64" s="33"/>
      <c r="AI64" s="33"/>
      <c r="AK64" s="33"/>
      <c r="AM64" s="33"/>
      <c r="AN64" s="33"/>
      <c r="AO64" s="33"/>
      <c r="AP64" s="41"/>
      <c r="AQ64" s="41"/>
      <c r="AR64" s="41"/>
    </row>
    <row r="65" spans="2:44" s="37" customFormat="1" hidden="1" x14ac:dyDescent="0.4">
      <c r="B65" s="33"/>
      <c r="C65" s="33"/>
      <c r="D65" s="33"/>
      <c r="E65" s="33"/>
      <c r="F65" s="33"/>
      <c r="G65" s="36"/>
      <c r="H65" s="40"/>
      <c r="I65" s="33"/>
      <c r="J65" s="36"/>
      <c r="K65" s="33"/>
      <c r="L65" s="33"/>
      <c r="M65" s="33"/>
      <c r="N65" s="33"/>
      <c r="Q65" s="33"/>
      <c r="R65" s="33"/>
      <c r="S65" s="33"/>
      <c r="T65" s="33"/>
      <c r="V65" s="33"/>
      <c r="X65" s="33"/>
      <c r="Y65" s="33"/>
      <c r="Z65" s="33"/>
      <c r="AA65" s="33"/>
      <c r="AC65" s="33"/>
      <c r="AE65" s="33"/>
      <c r="AG65" s="33"/>
      <c r="AI65" s="33"/>
      <c r="AK65" s="33"/>
      <c r="AM65" s="33"/>
      <c r="AN65" s="33"/>
      <c r="AO65" s="33"/>
      <c r="AP65" s="41"/>
      <c r="AQ65" s="41"/>
      <c r="AR65" s="41"/>
    </row>
    <row r="66" spans="2:44" s="37" customFormat="1" hidden="1" x14ac:dyDescent="0.4">
      <c r="B66" s="33"/>
      <c r="C66" s="33"/>
      <c r="D66" s="33"/>
      <c r="E66" s="33"/>
      <c r="F66" s="33"/>
      <c r="G66" s="36"/>
      <c r="H66" s="40"/>
      <c r="I66" s="33"/>
      <c r="J66" s="36"/>
      <c r="K66" s="33"/>
      <c r="L66" s="33"/>
      <c r="M66" s="33"/>
      <c r="N66" s="33"/>
      <c r="Q66" s="33"/>
      <c r="R66" s="33"/>
      <c r="S66" s="33"/>
      <c r="T66" s="33"/>
      <c r="V66" s="33"/>
      <c r="X66" s="33"/>
      <c r="Y66" s="33"/>
      <c r="Z66" s="33"/>
      <c r="AA66" s="33"/>
      <c r="AC66" s="33"/>
      <c r="AE66" s="33"/>
      <c r="AG66" s="33"/>
      <c r="AI66" s="33"/>
      <c r="AK66" s="33"/>
      <c r="AM66" s="33"/>
      <c r="AN66" s="33"/>
      <c r="AO66" s="33"/>
      <c r="AP66" s="41"/>
      <c r="AQ66" s="41"/>
      <c r="AR66" s="41"/>
    </row>
    <row r="67" spans="2:44" s="37" customFormat="1" hidden="1" x14ac:dyDescent="0.4">
      <c r="B67" s="33"/>
      <c r="C67" s="33"/>
      <c r="D67" s="33"/>
      <c r="E67" s="33"/>
      <c r="F67" s="33"/>
      <c r="G67" s="36"/>
      <c r="H67" s="40"/>
      <c r="I67" s="33"/>
      <c r="J67" s="36"/>
      <c r="K67" s="33"/>
      <c r="L67" s="33"/>
      <c r="M67" s="33"/>
      <c r="N67" s="33"/>
      <c r="Q67" s="33"/>
      <c r="R67" s="33"/>
      <c r="S67" s="33"/>
      <c r="T67" s="33"/>
      <c r="V67" s="33"/>
      <c r="X67" s="33"/>
      <c r="Y67" s="33"/>
      <c r="Z67" s="33"/>
      <c r="AA67" s="33"/>
      <c r="AC67" s="33"/>
      <c r="AE67" s="33"/>
      <c r="AG67" s="33"/>
      <c r="AI67" s="33"/>
      <c r="AK67" s="33"/>
      <c r="AM67" s="33"/>
      <c r="AN67" s="33"/>
      <c r="AO67" s="33"/>
      <c r="AP67" s="41"/>
      <c r="AQ67" s="41"/>
      <c r="AR67" s="41"/>
    </row>
    <row r="68" spans="2:44" s="37" customFormat="1" hidden="1" x14ac:dyDescent="0.4">
      <c r="B68" s="33"/>
      <c r="C68" s="33"/>
      <c r="D68" s="33"/>
      <c r="E68" s="33"/>
      <c r="F68" s="33"/>
      <c r="G68" s="36"/>
      <c r="H68" s="40"/>
      <c r="I68" s="33"/>
      <c r="J68" s="36"/>
      <c r="K68" s="33"/>
      <c r="L68" s="33"/>
      <c r="M68" s="33"/>
      <c r="N68" s="33"/>
      <c r="Q68" s="33"/>
      <c r="R68" s="33"/>
      <c r="S68" s="33"/>
      <c r="T68" s="33"/>
      <c r="V68" s="33"/>
      <c r="X68" s="33"/>
      <c r="Y68" s="33"/>
      <c r="Z68" s="33"/>
      <c r="AA68" s="33"/>
      <c r="AC68" s="33"/>
      <c r="AE68" s="33"/>
      <c r="AG68" s="33"/>
      <c r="AI68" s="33"/>
      <c r="AK68" s="33"/>
      <c r="AM68" s="33"/>
      <c r="AN68" s="33"/>
      <c r="AO68" s="33"/>
      <c r="AP68" s="41"/>
      <c r="AQ68" s="41"/>
      <c r="AR68" s="41"/>
    </row>
    <row r="69" spans="2:44" s="37" customFormat="1" hidden="1" x14ac:dyDescent="0.4">
      <c r="B69" s="33"/>
      <c r="C69" s="33"/>
      <c r="D69" s="33"/>
      <c r="E69" s="33"/>
      <c r="F69" s="33"/>
      <c r="G69" s="36"/>
      <c r="H69" s="40"/>
      <c r="I69" s="33"/>
      <c r="J69" s="36"/>
      <c r="K69" s="33"/>
      <c r="L69" s="33"/>
      <c r="M69" s="33"/>
      <c r="N69" s="33"/>
      <c r="Q69" s="33"/>
      <c r="R69" s="33"/>
      <c r="S69" s="33"/>
      <c r="T69" s="33"/>
      <c r="V69" s="33"/>
      <c r="X69" s="33"/>
      <c r="Y69" s="33"/>
      <c r="Z69" s="33"/>
      <c r="AA69" s="33"/>
      <c r="AC69" s="33"/>
      <c r="AE69" s="33"/>
      <c r="AG69" s="33"/>
      <c r="AI69" s="33"/>
      <c r="AK69" s="33"/>
      <c r="AM69" s="33"/>
      <c r="AN69" s="33"/>
      <c r="AO69" s="33"/>
      <c r="AP69" s="41"/>
      <c r="AQ69" s="41"/>
      <c r="AR69" s="41"/>
    </row>
    <row r="70" spans="2:44" s="37" customFormat="1" hidden="1" x14ac:dyDescent="0.4">
      <c r="B70" s="33"/>
      <c r="C70" s="33"/>
      <c r="D70" s="33"/>
      <c r="E70" s="33"/>
      <c r="F70" s="33"/>
      <c r="G70" s="36"/>
      <c r="H70" s="40"/>
      <c r="I70" s="33"/>
      <c r="J70" s="36"/>
      <c r="K70" s="33"/>
      <c r="L70" s="33"/>
      <c r="M70" s="33"/>
      <c r="N70" s="33"/>
      <c r="Q70" s="33"/>
      <c r="R70" s="33"/>
      <c r="S70" s="33"/>
      <c r="T70" s="33"/>
      <c r="V70" s="33"/>
      <c r="X70" s="33"/>
      <c r="Y70" s="33"/>
      <c r="Z70" s="33"/>
      <c r="AA70" s="33"/>
      <c r="AC70" s="33"/>
      <c r="AE70" s="33"/>
      <c r="AG70" s="33"/>
      <c r="AI70" s="33"/>
      <c r="AK70" s="33"/>
      <c r="AM70" s="33"/>
      <c r="AN70" s="33"/>
      <c r="AO70" s="33"/>
      <c r="AP70" s="41"/>
      <c r="AQ70" s="41"/>
      <c r="AR70" s="41"/>
    </row>
    <row r="71" spans="2:44" s="37" customFormat="1" hidden="1" x14ac:dyDescent="0.4">
      <c r="B71" s="33"/>
      <c r="C71" s="33"/>
      <c r="D71" s="33"/>
      <c r="E71" s="33"/>
      <c r="F71" s="33"/>
      <c r="G71" s="36"/>
      <c r="H71" s="40"/>
      <c r="I71" s="33"/>
      <c r="J71" s="36"/>
      <c r="K71" s="33"/>
      <c r="L71" s="33"/>
      <c r="M71" s="33"/>
      <c r="N71" s="33"/>
      <c r="Q71" s="33"/>
      <c r="R71" s="33"/>
      <c r="S71" s="33"/>
      <c r="T71" s="33"/>
      <c r="V71" s="33"/>
      <c r="X71" s="33"/>
      <c r="Y71" s="33"/>
      <c r="Z71" s="33"/>
      <c r="AA71" s="33"/>
      <c r="AC71" s="33"/>
      <c r="AE71" s="33"/>
      <c r="AG71" s="33"/>
      <c r="AI71" s="33"/>
      <c r="AK71" s="33"/>
      <c r="AM71" s="33"/>
      <c r="AN71" s="33"/>
      <c r="AO71" s="33"/>
      <c r="AP71" s="41"/>
      <c r="AQ71" s="41"/>
      <c r="AR71" s="41"/>
    </row>
    <row r="72" spans="2:44" s="37" customFormat="1" hidden="1" x14ac:dyDescent="0.4">
      <c r="B72" s="33"/>
      <c r="C72" s="33"/>
      <c r="D72" s="33"/>
      <c r="E72" s="33"/>
      <c r="F72" s="33"/>
      <c r="G72" s="36"/>
      <c r="H72" s="40"/>
      <c r="I72" s="33"/>
      <c r="J72" s="36"/>
      <c r="K72" s="33"/>
      <c r="L72" s="33"/>
      <c r="M72" s="33"/>
      <c r="N72" s="33"/>
      <c r="Q72" s="33"/>
      <c r="R72" s="33"/>
      <c r="S72" s="33"/>
      <c r="T72" s="33"/>
      <c r="V72" s="33"/>
      <c r="X72" s="33"/>
      <c r="Y72" s="33"/>
      <c r="Z72" s="33"/>
      <c r="AA72" s="33"/>
      <c r="AC72" s="33"/>
      <c r="AE72" s="33"/>
      <c r="AG72" s="33"/>
      <c r="AI72" s="33"/>
      <c r="AK72" s="33"/>
      <c r="AM72" s="33"/>
      <c r="AN72" s="33"/>
      <c r="AO72" s="33"/>
      <c r="AP72" s="41"/>
      <c r="AQ72" s="41"/>
      <c r="AR72" s="41"/>
    </row>
    <row r="73" spans="2:44" s="37" customFormat="1" hidden="1" x14ac:dyDescent="0.4">
      <c r="B73" s="33"/>
      <c r="C73" s="33"/>
      <c r="D73" s="33"/>
      <c r="E73" s="33"/>
      <c r="F73" s="33"/>
      <c r="G73" s="36"/>
      <c r="H73" s="40"/>
      <c r="I73" s="33"/>
      <c r="J73" s="36"/>
      <c r="K73" s="33"/>
      <c r="L73" s="33"/>
      <c r="M73" s="33"/>
      <c r="N73" s="33"/>
      <c r="Q73" s="33"/>
      <c r="R73" s="33"/>
      <c r="S73" s="33"/>
      <c r="T73" s="33"/>
      <c r="V73" s="33"/>
      <c r="X73" s="33"/>
      <c r="Y73" s="33"/>
      <c r="Z73" s="33"/>
      <c r="AA73" s="33"/>
      <c r="AC73" s="33"/>
      <c r="AE73" s="33"/>
      <c r="AG73" s="33"/>
      <c r="AI73" s="33"/>
      <c r="AK73" s="33"/>
      <c r="AM73" s="33"/>
      <c r="AN73" s="33"/>
      <c r="AO73" s="33"/>
      <c r="AP73" s="41"/>
      <c r="AQ73" s="41"/>
      <c r="AR73" s="41"/>
    </row>
    <row r="74" spans="2:44" s="37" customFormat="1" hidden="1" x14ac:dyDescent="0.4">
      <c r="B74" s="33"/>
      <c r="C74" s="33"/>
      <c r="D74" s="33"/>
      <c r="E74" s="33"/>
      <c r="F74" s="33"/>
      <c r="G74" s="36"/>
      <c r="H74" s="40"/>
      <c r="I74" s="33"/>
      <c r="J74" s="36"/>
      <c r="K74" s="33"/>
      <c r="L74" s="33"/>
      <c r="M74" s="33"/>
      <c r="N74" s="33"/>
      <c r="Q74" s="33"/>
      <c r="R74" s="33"/>
      <c r="S74" s="33"/>
      <c r="T74" s="33"/>
      <c r="V74" s="33"/>
      <c r="X74" s="33"/>
      <c r="Y74" s="33"/>
      <c r="Z74" s="33"/>
      <c r="AA74" s="33"/>
      <c r="AC74" s="33"/>
      <c r="AE74" s="33"/>
      <c r="AG74" s="33"/>
      <c r="AI74" s="33"/>
      <c r="AK74" s="33"/>
      <c r="AM74" s="33"/>
      <c r="AN74" s="33"/>
      <c r="AO74" s="33"/>
      <c r="AP74" s="41"/>
      <c r="AQ74" s="41"/>
      <c r="AR74" s="41"/>
    </row>
    <row r="75" spans="2:44" s="37" customFormat="1" hidden="1" x14ac:dyDescent="0.4">
      <c r="B75" s="33"/>
      <c r="C75" s="33"/>
      <c r="D75" s="33"/>
      <c r="E75" s="33"/>
      <c r="F75" s="33"/>
      <c r="G75" s="36"/>
      <c r="H75" s="40"/>
      <c r="I75" s="33"/>
      <c r="J75" s="36"/>
      <c r="K75" s="33"/>
      <c r="L75" s="33"/>
      <c r="M75" s="33"/>
      <c r="N75" s="33"/>
      <c r="Q75" s="33"/>
      <c r="R75" s="33"/>
      <c r="S75" s="33"/>
      <c r="T75" s="33"/>
      <c r="V75" s="33"/>
      <c r="X75" s="33"/>
      <c r="Y75" s="33"/>
      <c r="Z75" s="33"/>
      <c r="AA75" s="33"/>
      <c r="AC75" s="33"/>
      <c r="AE75" s="33"/>
      <c r="AG75" s="33"/>
      <c r="AI75" s="33"/>
      <c r="AK75" s="33"/>
      <c r="AM75" s="33"/>
      <c r="AN75" s="33"/>
      <c r="AO75" s="33"/>
      <c r="AP75" s="41"/>
      <c r="AQ75" s="41"/>
      <c r="AR75" s="41"/>
    </row>
    <row r="76" spans="2:44" s="37" customFormat="1" hidden="1" x14ac:dyDescent="0.4">
      <c r="B76" s="33"/>
      <c r="C76" s="33"/>
      <c r="D76" s="33"/>
      <c r="E76" s="33"/>
      <c r="F76" s="33"/>
      <c r="G76" s="36"/>
      <c r="H76" s="40"/>
      <c r="I76" s="33"/>
      <c r="J76" s="36"/>
      <c r="K76" s="33"/>
      <c r="L76" s="33"/>
      <c r="M76" s="33"/>
      <c r="N76" s="33"/>
      <c r="Q76" s="33"/>
      <c r="R76" s="33"/>
      <c r="S76" s="33"/>
      <c r="T76" s="33"/>
      <c r="V76" s="33"/>
      <c r="X76" s="33"/>
      <c r="Y76" s="33"/>
      <c r="Z76" s="33"/>
      <c r="AA76" s="33"/>
      <c r="AC76" s="33"/>
      <c r="AE76" s="33"/>
      <c r="AG76" s="33"/>
      <c r="AI76" s="33"/>
      <c r="AK76" s="33"/>
      <c r="AM76" s="33"/>
      <c r="AN76" s="33"/>
      <c r="AO76" s="33"/>
      <c r="AP76" s="41"/>
      <c r="AQ76" s="41"/>
      <c r="AR76" s="41"/>
    </row>
    <row r="77" spans="2:44" s="37" customFormat="1" hidden="1" x14ac:dyDescent="0.4">
      <c r="B77" s="33"/>
      <c r="C77" s="33"/>
      <c r="D77" s="33"/>
      <c r="E77" s="33"/>
      <c r="F77" s="33"/>
      <c r="G77" s="36"/>
      <c r="H77" s="40"/>
      <c r="I77" s="33"/>
      <c r="J77" s="36"/>
      <c r="K77" s="33"/>
      <c r="L77" s="33"/>
      <c r="M77" s="33"/>
      <c r="N77" s="33"/>
      <c r="Q77" s="33"/>
      <c r="R77" s="33"/>
      <c r="S77" s="33"/>
      <c r="T77" s="33"/>
      <c r="V77" s="33"/>
      <c r="X77" s="33"/>
      <c r="Y77" s="33"/>
      <c r="Z77" s="33"/>
      <c r="AA77" s="33"/>
      <c r="AC77" s="33"/>
      <c r="AE77" s="33"/>
      <c r="AG77" s="33"/>
      <c r="AI77" s="33"/>
      <c r="AK77" s="33"/>
      <c r="AM77" s="33"/>
      <c r="AN77" s="33"/>
      <c r="AO77" s="33"/>
      <c r="AP77" s="41"/>
      <c r="AQ77" s="41"/>
      <c r="AR77" s="41"/>
    </row>
    <row r="78" spans="2:44" s="37" customFormat="1" hidden="1" x14ac:dyDescent="0.4">
      <c r="B78" s="33"/>
      <c r="C78" s="33"/>
      <c r="D78" s="33"/>
      <c r="E78" s="33"/>
      <c r="F78" s="33"/>
      <c r="G78" s="36"/>
      <c r="H78" s="40"/>
      <c r="I78" s="33"/>
      <c r="J78" s="36"/>
      <c r="K78" s="33"/>
      <c r="L78" s="33"/>
      <c r="M78" s="33"/>
      <c r="N78" s="33"/>
      <c r="Q78" s="33"/>
      <c r="R78" s="33"/>
      <c r="S78" s="33"/>
      <c r="T78" s="33"/>
      <c r="V78" s="33"/>
      <c r="X78" s="33"/>
      <c r="Y78" s="33"/>
      <c r="Z78" s="33"/>
      <c r="AA78" s="33"/>
      <c r="AC78" s="33"/>
      <c r="AE78" s="33"/>
      <c r="AG78" s="33"/>
      <c r="AI78" s="33"/>
      <c r="AK78" s="33"/>
      <c r="AM78" s="33"/>
      <c r="AN78" s="33"/>
      <c r="AO78" s="33"/>
      <c r="AP78" s="41"/>
      <c r="AQ78" s="41"/>
      <c r="AR78" s="41"/>
    </row>
    <row r="79" spans="2:44" s="37" customFormat="1" hidden="1" x14ac:dyDescent="0.4">
      <c r="B79" s="33"/>
      <c r="C79" s="33"/>
      <c r="D79" s="33"/>
      <c r="E79" s="33"/>
      <c r="F79" s="33"/>
      <c r="G79" s="36"/>
      <c r="H79" s="40"/>
      <c r="I79" s="33"/>
      <c r="J79" s="36"/>
      <c r="K79" s="33"/>
      <c r="L79" s="33"/>
      <c r="M79" s="33"/>
      <c r="N79" s="33"/>
      <c r="Q79" s="33"/>
      <c r="R79" s="33"/>
      <c r="S79" s="33"/>
      <c r="T79" s="33"/>
      <c r="V79" s="33"/>
      <c r="X79" s="33"/>
      <c r="Y79" s="33"/>
      <c r="Z79" s="33"/>
      <c r="AA79" s="33"/>
      <c r="AC79" s="33"/>
      <c r="AE79" s="33"/>
      <c r="AG79" s="33"/>
      <c r="AI79" s="33"/>
      <c r="AK79" s="33"/>
      <c r="AM79" s="33"/>
      <c r="AN79" s="33"/>
      <c r="AO79" s="33"/>
      <c r="AP79" s="41"/>
      <c r="AQ79" s="41"/>
      <c r="AR79" s="41"/>
    </row>
    <row r="80" spans="2:44" s="37" customFormat="1" hidden="1" x14ac:dyDescent="0.4">
      <c r="B80" s="33"/>
      <c r="C80" s="33"/>
      <c r="D80" s="33"/>
      <c r="E80" s="33"/>
      <c r="F80" s="33"/>
      <c r="G80" s="36"/>
      <c r="H80" s="40"/>
      <c r="I80" s="33"/>
      <c r="J80" s="36"/>
      <c r="K80" s="33"/>
      <c r="L80" s="33"/>
      <c r="M80" s="33"/>
      <c r="N80" s="33"/>
      <c r="Q80" s="33"/>
      <c r="R80" s="33"/>
      <c r="S80" s="33"/>
      <c r="T80" s="33"/>
      <c r="V80" s="33"/>
      <c r="X80" s="33"/>
      <c r="Y80" s="33"/>
      <c r="Z80" s="33"/>
      <c r="AA80" s="33"/>
      <c r="AC80" s="33"/>
      <c r="AE80" s="33"/>
      <c r="AG80" s="33"/>
      <c r="AI80" s="33"/>
      <c r="AK80" s="33"/>
      <c r="AM80" s="33"/>
      <c r="AN80" s="33"/>
      <c r="AO80" s="33"/>
      <c r="AP80" s="41"/>
      <c r="AQ80" s="41"/>
      <c r="AR80" s="41"/>
    </row>
    <row r="81" spans="2:44" s="37" customFormat="1" hidden="1" x14ac:dyDescent="0.4">
      <c r="B81" s="33"/>
      <c r="C81" s="33"/>
      <c r="D81" s="33"/>
      <c r="E81" s="33"/>
      <c r="F81" s="33"/>
      <c r="G81" s="36"/>
      <c r="H81" s="40"/>
      <c r="I81" s="33"/>
      <c r="J81" s="36"/>
      <c r="K81" s="33"/>
      <c r="L81" s="33"/>
      <c r="M81" s="33"/>
      <c r="N81" s="33"/>
      <c r="Q81" s="33"/>
      <c r="R81" s="33"/>
      <c r="S81" s="33"/>
      <c r="T81" s="33"/>
      <c r="V81" s="33"/>
      <c r="X81" s="33"/>
      <c r="Y81" s="33"/>
      <c r="Z81" s="33"/>
      <c r="AA81" s="33"/>
      <c r="AC81" s="33"/>
      <c r="AE81" s="33"/>
      <c r="AG81" s="33"/>
      <c r="AI81" s="33"/>
      <c r="AK81" s="33"/>
      <c r="AM81" s="33"/>
      <c r="AN81" s="33"/>
      <c r="AO81" s="33"/>
      <c r="AP81" s="41"/>
      <c r="AQ81" s="41"/>
      <c r="AR81" s="41"/>
    </row>
    <row r="82" spans="2:44" s="37" customFormat="1" hidden="1" x14ac:dyDescent="0.4">
      <c r="B82" s="33"/>
      <c r="C82" s="33"/>
      <c r="D82" s="33"/>
      <c r="E82" s="33"/>
      <c r="F82" s="33"/>
      <c r="G82" s="36"/>
      <c r="H82" s="40"/>
      <c r="I82" s="33"/>
      <c r="J82" s="36"/>
      <c r="K82" s="33"/>
      <c r="L82" s="33"/>
      <c r="M82" s="33"/>
      <c r="N82" s="33"/>
      <c r="Q82" s="33"/>
      <c r="R82" s="33"/>
      <c r="S82" s="33"/>
      <c r="T82" s="33"/>
      <c r="V82" s="33"/>
      <c r="X82" s="33"/>
      <c r="Y82" s="33"/>
      <c r="Z82" s="33"/>
      <c r="AA82" s="33"/>
      <c r="AC82" s="33"/>
      <c r="AE82" s="33"/>
      <c r="AG82" s="33"/>
      <c r="AI82" s="33"/>
      <c r="AK82" s="33"/>
      <c r="AM82" s="33"/>
      <c r="AN82" s="33"/>
      <c r="AO82" s="33"/>
      <c r="AP82" s="41"/>
      <c r="AQ82" s="41"/>
      <c r="AR82" s="41"/>
    </row>
    <row r="83" spans="2:44" s="37" customFormat="1" hidden="1" x14ac:dyDescent="0.4">
      <c r="B83" s="33"/>
      <c r="C83" s="33"/>
      <c r="D83" s="33"/>
      <c r="E83" s="33"/>
      <c r="F83" s="33"/>
      <c r="G83" s="36"/>
      <c r="H83" s="40"/>
      <c r="I83" s="33"/>
      <c r="J83" s="36"/>
      <c r="K83" s="33"/>
      <c r="L83" s="33"/>
      <c r="M83" s="33"/>
      <c r="N83" s="33"/>
      <c r="Q83" s="33"/>
      <c r="R83" s="33"/>
      <c r="S83" s="33"/>
      <c r="T83" s="33"/>
      <c r="V83" s="33"/>
      <c r="X83" s="33"/>
      <c r="Y83" s="33"/>
      <c r="Z83" s="33"/>
      <c r="AA83" s="33"/>
      <c r="AC83" s="33"/>
      <c r="AE83" s="33"/>
      <c r="AG83" s="33"/>
      <c r="AI83" s="33"/>
      <c r="AK83" s="33"/>
      <c r="AM83" s="33"/>
      <c r="AN83" s="33"/>
      <c r="AO83" s="33"/>
      <c r="AP83" s="41"/>
      <c r="AQ83" s="41"/>
      <c r="AR83" s="41"/>
    </row>
    <row r="84" spans="2:44" s="37" customFormat="1" hidden="1" x14ac:dyDescent="0.4">
      <c r="B84" s="33"/>
      <c r="C84" s="33"/>
      <c r="D84" s="33"/>
      <c r="E84" s="33"/>
      <c r="F84" s="33"/>
      <c r="G84" s="36"/>
      <c r="H84" s="40"/>
      <c r="I84" s="33"/>
      <c r="J84" s="36"/>
      <c r="K84" s="33"/>
      <c r="L84" s="33"/>
      <c r="M84" s="33"/>
      <c r="N84" s="33"/>
      <c r="Q84" s="33"/>
      <c r="R84" s="33"/>
      <c r="S84" s="33"/>
      <c r="T84" s="33"/>
      <c r="V84" s="33"/>
      <c r="X84" s="33"/>
      <c r="Y84" s="33"/>
      <c r="Z84" s="33"/>
      <c r="AA84" s="33"/>
      <c r="AC84" s="33"/>
      <c r="AE84" s="33"/>
      <c r="AG84" s="33"/>
      <c r="AI84" s="33"/>
      <c r="AK84" s="33"/>
      <c r="AM84" s="33"/>
      <c r="AN84" s="33"/>
      <c r="AO84" s="33"/>
      <c r="AP84" s="41"/>
      <c r="AQ84" s="41"/>
      <c r="AR84" s="41"/>
    </row>
    <row r="85" spans="2:44" s="37" customFormat="1" hidden="1" x14ac:dyDescent="0.4">
      <c r="B85" s="33"/>
      <c r="C85" s="33"/>
      <c r="D85" s="33"/>
      <c r="E85" s="33"/>
      <c r="F85" s="33"/>
      <c r="G85" s="36"/>
      <c r="H85" s="40"/>
      <c r="I85" s="33"/>
      <c r="J85" s="36"/>
      <c r="K85" s="33"/>
      <c r="L85" s="33"/>
      <c r="M85" s="33"/>
      <c r="N85" s="33"/>
      <c r="Q85" s="33"/>
      <c r="R85" s="33"/>
      <c r="S85" s="33"/>
      <c r="T85" s="33"/>
      <c r="V85" s="33"/>
      <c r="X85" s="33"/>
      <c r="Y85" s="33"/>
      <c r="Z85" s="33"/>
      <c r="AA85" s="33"/>
      <c r="AC85" s="33"/>
      <c r="AE85" s="33"/>
      <c r="AG85" s="33"/>
      <c r="AI85" s="33"/>
      <c r="AK85" s="33"/>
      <c r="AM85" s="33"/>
      <c r="AN85" s="33"/>
      <c r="AO85" s="33"/>
      <c r="AP85" s="41"/>
      <c r="AQ85" s="41"/>
      <c r="AR85" s="41"/>
    </row>
    <row r="86" spans="2:44" s="37" customFormat="1" hidden="1" x14ac:dyDescent="0.4">
      <c r="B86" s="33"/>
      <c r="C86" s="33"/>
      <c r="D86" s="33"/>
      <c r="E86" s="33"/>
      <c r="F86" s="33"/>
      <c r="G86" s="36"/>
      <c r="H86" s="40"/>
      <c r="I86" s="33"/>
      <c r="J86" s="36"/>
      <c r="K86" s="33"/>
      <c r="L86" s="33"/>
      <c r="M86" s="33"/>
      <c r="N86" s="33"/>
      <c r="Q86" s="33"/>
      <c r="R86" s="33"/>
      <c r="S86" s="33"/>
      <c r="T86" s="33"/>
      <c r="V86" s="33"/>
      <c r="X86" s="33"/>
      <c r="Y86" s="33"/>
      <c r="Z86" s="33"/>
      <c r="AA86" s="33"/>
      <c r="AC86" s="33"/>
      <c r="AE86" s="33"/>
      <c r="AG86" s="33"/>
      <c r="AI86" s="33"/>
      <c r="AK86" s="33"/>
      <c r="AM86" s="33"/>
      <c r="AN86" s="33"/>
      <c r="AO86" s="33"/>
      <c r="AP86" s="41"/>
      <c r="AQ86" s="41"/>
      <c r="AR86" s="41"/>
    </row>
    <row r="87" spans="2:44" s="37" customFormat="1" hidden="1" x14ac:dyDescent="0.4">
      <c r="B87" s="33"/>
      <c r="C87" s="33"/>
      <c r="D87" s="33"/>
      <c r="E87" s="33"/>
      <c r="F87" s="33"/>
      <c r="G87" s="36"/>
      <c r="H87" s="40"/>
      <c r="I87" s="33"/>
      <c r="J87" s="36"/>
      <c r="K87" s="33"/>
      <c r="L87" s="33"/>
      <c r="M87" s="33"/>
      <c r="N87" s="33"/>
      <c r="Q87" s="33"/>
      <c r="R87" s="33"/>
      <c r="S87" s="33"/>
      <c r="T87" s="33"/>
      <c r="V87" s="33"/>
      <c r="X87" s="33"/>
      <c r="Y87" s="33"/>
      <c r="Z87" s="33"/>
      <c r="AA87" s="33"/>
      <c r="AC87" s="33"/>
      <c r="AE87" s="33"/>
      <c r="AG87" s="33"/>
      <c r="AI87" s="33"/>
      <c r="AK87" s="33"/>
      <c r="AM87" s="33"/>
      <c r="AN87" s="33"/>
      <c r="AO87" s="33"/>
      <c r="AP87" s="41"/>
      <c r="AQ87" s="41"/>
      <c r="AR87" s="41"/>
    </row>
    <row r="88" spans="2:44" s="37" customFormat="1" hidden="1" x14ac:dyDescent="0.4">
      <c r="B88" s="33"/>
      <c r="C88" s="33"/>
      <c r="D88" s="33"/>
      <c r="E88" s="33"/>
      <c r="F88" s="33"/>
      <c r="G88" s="36"/>
      <c r="H88" s="40"/>
      <c r="I88" s="33"/>
      <c r="J88" s="36"/>
      <c r="K88" s="33"/>
      <c r="L88" s="33"/>
      <c r="M88" s="33"/>
      <c r="N88" s="33"/>
      <c r="Q88" s="33"/>
      <c r="R88" s="33"/>
      <c r="S88" s="33"/>
      <c r="T88" s="33"/>
      <c r="V88" s="33"/>
      <c r="X88" s="33"/>
      <c r="Y88" s="33"/>
      <c r="Z88" s="33"/>
      <c r="AA88" s="33"/>
      <c r="AC88" s="33"/>
      <c r="AE88" s="33"/>
      <c r="AG88" s="33"/>
      <c r="AI88" s="33"/>
      <c r="AK88" s="33"/>
      <c r="AM88" s="33"/>
      <c r="AN88" s="33"/>
      <c r="AO88" s="33"/>
      <c r="AP88" s="41"/>
      <c r="AQ88" s="41"/>
      <c r="AR88" s="41"/>
    </row>
    <row r="89" spans="2:44" s="37" customFormat="1" hidden="1" x14ac:dyDescent="0.4">
      <c r="B89" s="33"/>
      <c r="C89" s="33"/>
      <c r="D89" s="33"/>
      <c r="E89" s="33"/>
      <c r="F89" s="33"/>
      <c r="G89" s="36"/>
      <c r="H89" s="40"/>
      <c r="I89" s="33"/>
      <c r="J89" s="36"/>
      <c r="K89" s="33"/>
      <c r="L89" s="33"/>
      <c r="M89" s="33"/>
      <c r="N89" s="33"/>
      <c r="Q89" s="33"/>
      <c r="R89" s="33"/>
      <c r="S89" s="33"/>
      <c r="T89" s="33"/>
      <c r="V89" s="33"/>
      <c r="X89" s="33"/>
      <c r="Y89" s="33"/>
      <c r="Z89" s="33"/>
      <c r="AA89" s="33"/>
      <c r="AC89" s="33"/>
      <c r="AE89" s="33"/>
      <c r="AG89" s="33"/>
      <c r="AI89" s="33"/>
      <c r="AK89" s="33"/>
      <c r="AM89" s="33"/>
      <c r="AN89" s="33"/>
      <c r="AO89" s="33"/>
      <c r="AP89" s="41"/>
      <c r="AQ89" s="41"/>
      <c r="AR89" s="41"/>
    </row>
    <row r="90" spans="2:44" s="37" customFormat="1" hidden="1" x14ac:dyDescent="0.4">
      <c r="B90" s="33"/>
      <c r="C90" s="33"/>
      <c r="D90" s="33"/>
      <c r="E90" s="33"/>
      <c r="F90" s="33"/>
      <c r="G90" s="36"/>
      <c r="H90" s="40"/>
      <c r="I90" s="33"/>
      <c r="J90" s="36"/>
      <c r="K90" s="33"/>
      <c r="L90" s="33"/>
      <c r="M90" s="33"/>
      <c r="N90" s="33"/>
      <c r="Q90" s="33"/>
      <c r="R90" s="33"/>
      <c r="S90" s="33"/>
      <c r="T90" s="33"/>
      <c r="V90" s="33"/>
      <c r="X90" s="33"/>
      <c r="Y90" s="33"/>
      <c r="Z90" s="33"/>
      <c r="AA90" s="33"/>
      <c r="AC90" s="33"/>
      <c r="AE90" s="33"/>
      <c r="AG90" s="33"/>
      <c r="AI90" s="33"/>
      <c r="AK90" s="33"/>
      <c r="AM90" s="33"/>
      <c r="AN90" s="33"/>
      <c r="AO90" s="33"/>
      <c r="AP90" s="41"/>
      <c r="AQ90" s="41"/>
      <c r="AR90" s="41"/>
    </row>
    <row r="91" spans="2:44" s="37" customFormat="1" hidden="1" x14ac:dyDescent="0.4">
      <c r="B91" s="33"/>
      <c r="C91" s="33"/>
      <c r="D91" s="33"/>
      <c r="E91" s="33"/>
      <c r="F91" s="33"/>
      <c r="G91" s="36"/>
      <c r="H91" s="40"/>
      <c r="I91" s="33"/>
      <c r="J91" s="36"/>
      <c r="K91" s="33"/>
      <c r="L91" s="33"/>
      <c r="M91" s="33"/>
      <c r="N91" s="33"/>
      <c r="Q91" s="33"/>
      <c r="R91" s="33"/>
      <c r="S91" s="33"/>
      <c r="T91" s="33"/>
      <c r="V91" s="33"/>
      <c r="X91" s="33"/>
      <c r="Y91" s="33"/>
      <c r="Z91" s="33"/>
      <c r="AA91" s="33"/>
      <c r="AC91" s="33"/>
      <c r="AE91" s="33"/>
      <c r="AG91" s="33"/>
      <c r="AI91" s="33"/>
      <c r="AK91" s="33"/>
      <c r="AM91" s="33"/>
      <c r="AN91" s="33"/>
      <c r="AO91" s="33"/>
      <c r="AP91" s="41"/>
      <c r="AQ91" s="41"/>
      <c r="AR91" s="41"/>
    </row>
    <row r="92" spans="2:44" s="37" customFormat="1" hidden="1" x14ac:dyDescent="0.4">
      <c r="B92" s="33"/>
      <c r="C92" s="33"/>
      <c r="D92" s="33"/>
      <c r="E92" s="33"/>
      <c r="F92" s="33"/>
      <c r="G92" s="36"/>
      <c r="H92" s="40"/>
      <c r="I92" s="33"/>
      <c r="J92" s="36"/>
      <c r="K92" s="33"/>
      <c r="L92" s="33"/>
      <c r="M92" s="33"/>
      <c r="N92" s="33"/>
      <c r="Q92" s="33"/>
      <c r="R92" s="33"/>
      <c r="S92" s="33"/>
      <c r="T92" s="33"/>
      <c r="V92" s="33"/>
      <c r="X92" s="33"/>
      <c r="Y92" s="33"/>
      <c r="Z92" s="33"/>
      <c r="AA92" s="33"/>
      <c r="AC92" s="33"/>
      <c r="AE92" s="33"/>
      <c r="AG92" s="33"/>
      <c r="AI92" s="33"/>
      <c r="AK92" s="33"/>
      <c r="AM92" s="33"/>
      <c r="AN92" s="33"/>
      <c r="AO92" s="33"/>
      <c r="AP92" s="41"/>
      <c r="AQ92" s="41"/>
      <c r="AR92" s="41"/>
    </row>
    <row r="93" spans="2:44" s="37" customFormat="1" hidden="1" x14ac:dyDescent="0.4">
      <c r="B93" s="33"/>
      <c r="C93" s="33"/>
      <c r="D93" s="33"/>
      <c r="E93" s="33"/>
      <c r="F93" s="33"/>
      <c r="G93" s="36"/>
      <c r="H93" s="40"/>
      <c r="I93" s="33"/>
      <c r="J93" s="36"/>
      <c r="K93" s="33"/>
      <c r="L93" s="33"/>
      <c r="M93" s="33"/>
      <c r="N93" s="33"/>
      <c r="Q93" s="33"/>
      <c r="R93" s="33"/>
      <c r="S93" s="33"/>
      <c r="T93" s="33"/>
      <c r="V93" s="33"/>
      <c r="X93" s="33"/>
      <c r="Y93" s="33"/>
      <c r="Z93" s="33"/>
      <c r="AA93" s="33"/>
      <c r="AC93" s="33"/>
      <c r="AE93" s="33"/>
      <c r="AG93" s="33"/>
      <c r="AI93" s="33"/>
      <c r="AK93" s="33"/>
      <c r="AM93" s="33"/>
      <c r="AN93" s="33"/>
      <c r="AO93" s="33"/>
      <c r="AP93" s="41"/>
      <c r="AQ93" s="41"/>
      <c r="AR93" s="41"/>
    </row>
    <row r="94" spans="2:44" s="37" customFormat="1" hidden="1" x14ac:dyDescent="0.4">
      <c r="B94" s="33"/>
      <c r="C94" s="33"/>
      <c r="D94" s="33"/>
      <c r="E94" s="33"/>
      <c r="F94" s="33"/>
      <c r="G94" s="36"/>
      <c r="H94" s="40"/>
      <c r="I94" s="33"/>
      <c r="J94" s="36"/>
      <c r="K94" s="33"/>
      <c r="L94" s="33"/>
      <c r="M94" s="33"/>
      <c r="N94" s="33"/>
      <c r="Q94" s="33"/>
      <c r="R94" s="33"/>
      <c r="S94" s="33"/>
      <c r="T94" s="33"/>
      <c r="V94" s="33"/>
      <c r="X94" s="33"/>
      <c r="Y94" s="33"/>
      <c r="Z94" s="33"/>
      <c r="AA94" s="33"/>
      <c r="AC94" s="33"/>
      <c r="AE94" s="33"/>
      <c r="AG94" s="33"/>
      <c r="AI94" s="33"/>
      <c r="AK94" s="33"/>
      <c r="AM94" s="33"/>
      <c r="AN94" s="33"/>
      <c r="AO94" s="33"/>
      <c r="AP94" s="41"/>
      <c r="AQ94" s="41"/>
      <c r="AR94" s="41"/>
    </row>
    <row r="95" spans="2:44" s="3" customFormat="1" x14ac:dyDescent="0.4">
      <c r="B95" t="s">
        <v>74</v>
      </c>
      <c r="C95" t="s">
        <v>102</v>
      </c>
      <c r="D95" t="s">
        <v>138</v>
      </c>
      <c r="E95" t="s">
        <v>223</v>
      </c>
      <c r="F95" s="1">
        <f ca="1">SUMPRODUCT(MID(0&amp;E95, LARGE(INDEX(ISNUMBER(--MID(E95, ROW(INDIRECT("1:"&amp;LEN(E95))), 1)) * ROW(INDIRECT("1:"&amp;LEN(E95))), 0), ROW(INDIRECT("1:"&amp;LEN(E95))))+1, 1) * 10^ROW(INDIRECT("1:"&amp;LEN(E95)))/10)</f>
        <v>3987</v>
      </c>
      <c r="G95" s="8" t="str">
        <f>Дума_партии[[#This Row],[Местоположение]]</f>
        <v>Часцы</v>
      </c>
      <c r="H95" s="2" t="str">
        <f>LEFT(Мособлдума_одномандатный_13[[#This Row],[tik]],4)&amp;"."&amp;IF(ISNUMBER(VALUE(RIGHT(Мособлдума_одномандатный_13[[#This Row],[tik]]))),RIGHT(Мособлдума_одномандатный_13[[#This Row],[tik]]),"")</f>
        <v>Один.</v>
      </c>
      <c r="I95">
        <v>2424</v>
      </c>
      <c r="J95" s="8">
        <f>Мособлдума_одномандатный_13[[#This Row],[Число избирателей, внесенных в список на момент окончания голосования]]</f>
        <v>2424</v>
      </c>
      <c r="K95">
        <v>1900</v>
      </c>
      <c r="L95" s="1"/>
      <c r="M95">
        <v>1473</v>
      </c>
      <c r="N95">
        <v>78</v>
      </c>
      <c r="O95" s="3">
        <f t="shared" si="3"/>
        <v>63.985148514851488</v>
      </c>
      <c r="P95" s="3">
        <f t="shared" si="4"/>
        <v>3.217821782178218</v>
      </c>
      <c r="Q95">
        <v>349</v>
      </c>
      <c r="R95">
        <v>78</v>
      </c>
      <c r="S95">
        <v>1473</v>
      </c>
      <c r="T95" s="1">
        <f t="shared" si="5"/>
        <v>1551</v>
      </c>
      <c r="U95" s="3">
        <f t="shared" si="6"/>
        <v>5.0290135396518378</v>
      </c>
      <c r="V95">
        <v>31</v>
      </c>
      <c r="W95" s="3">
        <f t="shared" si="7"/>
        <v>1.9987105093488071</v>
      </c>
      <c r="X95">
        <v>1520</v>
      </c>
      <c r="Y95">
        <v>0</v>
      </c>
      <c r="Z95">
        <v>0</v>
      </c>
      <c r="AA95">
        <v>209</v>
      </c>
      <c r="AB95" s="3">
        <f t="shared" si="8"/>
        <v>13.475177304964539</v>
      </c>
      <c r="AC95">
        <v>61</v>
      </c>
      <c r="AD95" s="3">
        <f t="shared" si="9"/>
        <v>3.9329464861379755</v>
      </c>
      <c r="AE95">
        <v>74</v>
      </c>
      <c r="AF95" s="3">
        <f t="shared" si="10"/>
        <v>4.7711154094132819</v>
      </c>
      <c r="AG95">
        <v>60</v>
      </c>
      <c r="AH95" s="3">
        <f t="shared" si="11"/>
        <v>3.8684719535783367</v>
      </c>
      <c r="AI95">
        <v>64</v>
      </c>
      <c r="AJ95" s="3">
        <f t="shared" si="12"/>
        <v>4.1263700838168926</v>
      </c>
      <c r="AK95">
        <v>1052</v>
      </c>
      <c r="AL95" s="3">
        <f t="shared" si="13"/>
        <v>67.827208252740164</v>
      </c>
      <c r="AM95" t="s">
        <v>369</v>
      </c>
      <c r="AN95" s="72" t="str">
        <f>Дума_партии[[#This Row],[КОИБ]]</f>
        <v>N</v>
      </c>
      <c r="AO95" s="1" t="str">
        <f>IF(Дума_партии[[#This Row],[Наблюдателей]]=0,"",Дума_партии[[#This Row],[Наблюдателей]])</f>
        <v/>
      </c>
      <c r="AP95" s="10">
        <f>Мособлдума_одномандатный_13[[#This Row],[Рожнов Олег Александрович]]-((AC$203/100)/(1-(AC$203/100)))*(Мособлдума_одномандатный_13[[#This Row],[Число действительных бюллетеней]]-Мособлдума_одномандатный_13[[#This Row],[Рожнов Олег Александрович]])</f>
        <v>892.65415549597856</v>
      </c>
      <c r="AQ95" s="10">
        <f>2*(Мособлдума_одномандатный_13[[#This Row],[Рожнов Олег Александрович]]-(AC$203/100)*Мособлдума_одномандатный_13[[#This Row],[Число действительных бюллетеней]])</f>
        <v>1331.8400000000001</v>
      </c>
      <c r="AR95" s="10">
        <f>(Мособлдума_одномандатный_13[[#This Row],[Вброс]]+Мособлдума_одномандатный_13[[#This Row],[Перекладывание]])/2</f>
        <v>1112.2470777479894</v>
      </c>
    </row>
    <row r="96" spans="2:44" s="3" customFormat="1" x14ac:dyDescent="0.4">
      <c r="B96" t="s">
        <v>74</v>
      </c>
      <c r="C96" t="s">
        <v>102</v>
      </c>
      <c r="D96" t="s">
        <v>138</v>
      </c>
      <c r="E96" t="s">
        <v>224</v>
      </c>
      <c r="F96" s="1">
        <f ca="1">SUMPRODUCT(MID(0&amp;E96, LARGE(INDEX(ISNUMBER(--MID(E96, ROW(INDIRECT("1:"&amp;LEN(E96))), 1)) * ROW(INDIRECT("1:"&amp;LEN(E96))), 0), ROW(INDIRECT("1:"&amp;LEN(E96))))+1, 1) * 10^ROW(INDIRECT("1:"&amp;LEN(E96)))/10)</f>
        <v>3989</v>
      </c>
      <c r="G96" s="8" t="str">
        <f>Дума_партии[[#This Row],[Местоположение]]</f>
        <v>Гарь-Покровское</v>
      </c>
      <c r="H96" s="2" t="str">
        <f>LEFT(Мособлдума_одномандатный_13[[#This Row],[tik]],4)&amp;"."&amp;IF(ISNUMBER(VALUE(RIGHT(Мособлдума_одномандатный_13[[#This Row],[tik]]))),RIGHT(Мособлдума_одномандатный_13[[#This Row],[tik]]),"")</f>
        <v>Один.</v>
      </c>
      <c r="I96">
        <v>2162</v>
      </c>
      <c r="J96" s="8">
        <f>Мособлдума_одномандатный_13[[#This Row],[Число избирателей, внесенных в список на момент окончания голосования]]</f>
        <v>2162</v>
      </c>
      <c r="K96">
        <v>1700</v>
      </c>
      <c r="L96" s="1"/>
      <c r="M96">
        <v>1377</v>
      </c>
      <c r="N96">
        <v>32</v>
      </c>
      <c r="O96" s="3">
        <f t="shared" si="3"/>
        <v>65.171137835337646</v>
      </c>
      <c r="P96" s="3">
        <f t="shared" si="4"/>
        <v>1.4801110083256244</v>
      </c>
      <c r="Q96">
        <v>291</v>
      </c>
      <c r="R96">
        <v>32</v>
      </c>
      <c r="S96">
        <v>1375</v>
      </c>
      <c r="T96" s="1">
        <f t="shared" si="5"/>
        <v>1407</v>
      </c>
      <c r="U96" s="3">
        <f t="shared" si="6"/>
        <v>2.2743425728500357</v>
      </c>
      <c r="V96">
        <v>22</v>
      </c>
      <c r="W96" s="3">
        <f t="shared" si="7"/>
        <v>1.5636105188343994</v>
      </c>
      <c r="X96">
        <v>1385</v>
      </c>
      <c r="Y96">
        <v>0</v>
      </c>
      <c r="Z96">
        <v>0</v>
      </c>
      <c r="AA96">
        <v>140</v>
      </c>
      <c r="AB96" s="3">
        <f t="shared" si="8"/>
        <v>9.9502487562189046</v>
      </c>
      <c r="AC96">
        <v>95</v>
      </c>
      <c r="AD96" s="3">
        <f t="shared" si="9"/>
        <v>6.7519545131485428</v>
      </c>
      <c r="AE96">
        <v>93</v>
      </c>
      <c r="AF96" s="3">
        <f t="shared" si="10"/>
        <v>6.6098081023454158</v>
      </c>
      <c r="AG96">
        <v>87</v>
      </c>
      <c r="AH96" s="3">
        <f t="shared" si="11"/>
        <v>6.1833688699360341</v>
      </c>
      <c r="AI96">
        <v>105</v>
      </c>
      <c r="AJ96" s="3">
        <f t="shared" si="12"/>
        <v>7.4626865671641793</v>
      </c>
      <c r="AK96">
        <v>865</v>
      </c>
      <c r="AL96" s="3">
        <f t="shared" si="13"/>
        <v>61.478322672352526</v>
      </c>
      <c r="AM96" t="s">
        <v>369</v>
      </c>
      <c r="AN96" s="72" t="str">
        <f>Дума_партии[[#This Row],[КОИБ]]</f>
        <v>N</v>
      </c>
      <c r="AO96" s="1" t="str">
        <f>IF(Дума_партии[[#This Row],[Наблюдателей]]=0,"",Дума_партии[[#This Row],[Наблюдателей]])</f>
        <v/>
      </c>
      <c r="AP96" s="10">
        <f>Мособлдума_одномандатный_13[[#This Row],[Рожнов Олег Александрович]]-((AC$203/100)/(1-(AC$203/100)))*(Мособлдума_одномандатный_13[[#This Row],[Число действительных бюллетеней]]-Мособлдума_одномандатный_13[[#This Row],[Рожнов Олег Александрович]])</f>
        <v>687.94906166219835</v>
      </c>
      <c r="AQ96" s="10">
        <f>2*(Мособлдума_одномандатный_13[[#This Row],[Рожнов Олег Александрович]]-(AC$203/100)*Мособлдума_одномандатный_13[[#This Row],[Число действительных бюллетеней]])</f>
        <v>1026.42</v>
      </c>
      <c r="AR96" s="10">
        <f>(Мособлдума_одномандатный_13[[#This Row],[Вброс]]+Мособлдума_одномандатный_13[[#This Row],[Перекладывание]])/2</f>
        <v>857.18453083109921</v>
      </c>
    </row>
    <row r="97" spans="2:44" s="3" customFormat="1" x14ac:dyDescent="0.4">
      <c r="B97" t="s">
        <v>74</v>
      </c>
      <c r="C97" t="s">
        <v>102</v>
      </c>
      <c r="D97" t="s">
        <v>138</v>
      </c>
      <c r="E97" t="s">
        <v>225</v>
      </c>
      <c r="F97" s="1">
        <f ca="1">SUMPRODUCT(MID(0&amp;E97, LARGE(INDEX(ISNUMBER(--MID(E97, ROW(INDIRECT("1:"&amp;LEN(E97))), 1)) * ROW(INDIRECT("1:"&amp;LEN(E97))), 0), ROW(INDIRECT("1:"&amp;LEN(E97))))+1, 1) * 10^ROW(INDIRECT("1:"&amp;LEN(E97)))/10)</f>
        <v>3991</v>
      </c>
      <c r="G97" s="8" t="str">
        <f>Дума_партии[[#This Row],[Местоположение]]</f>
        <v>Покровский Городок</v>
      </c>
      <c r="H97" s="2" t="str">
        <f>LEFT(Мособлдума_одномандатный_13[[#This Row],[tik]],4)&amp;"."&amp;IF(ISNUMBER(VALUE(RIGHT(Мособлдума_одномандатный_13[[#This Row],[tik]]))),RIGHT(Мособлдума_одномандатный_13[[#This Row],[tik]]),"")</f>
        <v>Один.</v>
      </c>
      <c r="I97">
        <v>1230</v>
      </c>
      <c r="J97" s="8">
        <f>Мособлдума_одномандатный_13[[#This Row],[Число избирателей, внесенных в список на момент окончания голосования]]</f>
        <v>1230</v>
      </c>
      <c r="K97">
        <v>900</v>
      </c>
      <c r="L97" s="1"/>
      <c r="M97">
        <v>627</v>
      </c>
      <c r="N97">
        <v>71</v>
      </c>
      <c r="O97" s="3">
        <f t="shared" si="3"/>
        <v>56.747967479674799</v>
      </c>
      <c r="P97" s="3">
        <f t="shared" si="4"/>
        <v>5.7723577235772359</v>
      </c>
      <c r="Q97">
        <v>202</v>
      </c>
      <c r="R97">
        <v>71</v>
      </c>
      <c r="S97">
        <v>627</v>
      </c>
      <c r="T97" s="1">
        <f t="shared" si="5"/>
        <v>698</v>
      </c>
      <c r="U97" s="3">
        <f t="shared" si="6"/>
        <v>10.17191977077364</v>
      </c>
      <c r="V97">
        <v>35</v>
      </c>
      <c r="W97" s="3">
        <f t="shared" si="7"/>
        <v>5.0143266475644701</v>
      </c>
      <c r="X97">
        <v>663</v>
      </c>
      <c r="Y97">
        <v>0</v>
      </c>
      <c r="Z97">
        <v>0</v>
      </c>
      <c r="AA97">
        <v>165</v>
      </c>
      <c r="AB97" s="3">
        <f t="shared" si="8"/>
        <v>23.638968481375358</v>
      </c>
      <c r="AC97">
        <v>60</v>
      </c>
      <c r="AD97" s="3">
        <f t="shared" si="9"/>
        <v>8.595988538681949</v>
      </c>
      <c r="AE97">
        <v>70</v>
      </c>
      <c r="AF97" s="3">
        <f t="shared" si="10"/>
        <v>10.02865329512894</v>
      </c>
      <c r="AG97">
        <v>39</v>
      </c>
      <c r="AH97" s="3">
        <f t="shared" si="11"/>
        <v>5.5873925501432664</v>
      </c>
      <c r="AI97">
        <v>64</v>
      </c>
      <c r="AJ97" s="3">
        <f t="shared" si="12"/>
        <v>9.1690544412607444</v>
      </c>
      <c r="AK97">
        <v>265</v>
      </c>
      <c r="AL97" s="3">
        <f t="shared" si="13"/>
        <v>37.965616045845273</v>
      </c>
      <c r="AM97" t="s">
        <v>369</v>
      </c>
      <c r="AN97" s="72" t="str">
        <f>Дума_партии[[#This Row],[КОИБ]]</f>
        <v>N</v>
      </c>
      <c r="AO97" s="1" t="str">
        <f>IF(Дума_партии[[#This Row],[Наблюдателей]]=0,"",Дума_партии[[#This Row],[Наблюдателей]])</f>
        <v/>
      </c>
      <c r="AP97" s="10">
        <f>Мособлдума_одномандатный_13[[#This Row],[Рожнов Олег Александрович]]-((AC$203/100)/(1-(AC$203/100)))*(Мособлдума_одномандатный_13[[#This Row],[Число действительных бюллетеней]]-Мособлдума_одномандатный_13[[#This Row],[Рожнов Олег Александрович]])</f>
        <v>129.48793565683647</v>
      </c>
      <c r="AQ97" s="10">
        <f>2*(Мособлдума_одномандатный_13[[#This Row],[Рожнов Олег Александрович]]-(AC$203/100)*Мособлдума_одномандатный_13[[#This Row],[Число действительных бюллетеней]])</f>
        <v>193.19599999999997</v>
      </c>
      <c r="AR97" s="10">
        <f>(Мособлдума_одномандатный_13[[#This Row],[Вброс]]+Мособлдума_одномандатный_13[[#This Row],[Перекладывание]])/2</f>
        <v>161.34196782841821</v>
      </c>
    </row>
    <row r="98" spans="2:44" s="3" customFormat="1" x14ac:dyDescent="0.4">
      <c r="B98" t="s">
        <v>74</v>
      </c>
      <c r="C98" t="s">
        <v>102</v>
      </c>
      <c r="D98" t="s">
        <v>138</v>
      </c>
      <c r="E98" t="s">
        <v>226</v>
      </c>
      <c r="F98" s="1">
        <f ca="1">SUMPRODUCT(MID(0&amp;E98, LARGE(INDEX(ISNUMBER(--MID(E98, ROW(INDIRECT("1:"&amp;LEN(E98))), 1)) * ROW(INDIRECT("1:"&amp;LEN(E98))), 0), ROW(INDIRECT("1:"&amp;LEN(E98))))+1, 1) * 10^ROW(INDIRECT("1:"&amp;LEN(E98)))/10)</f>
        <v>3992</v>
      </c>
      <c r="G98" s="8" t="str">
        <f>Дума_партии[[#This Row],[Местоположение]]</f>
        <v>Часцы</v>
      </c>
      <c r="H98" s="2" t="str">
        <f>LEFT(Мособлдума_одномандатный_13[[#This Row],[tik]],4)&amp;"."&amp;IF(ISNUMBER(VALUE(RIGHT(Мособлдума_одномандатный_13[[#This Row],[tik]]))),RIGHT(Мособлдума_одномандатный_13[[#This Row],[tik]]),"")</f>
        <v>Один.</v>
      </c>
      <c r="I98">
        <v>901</v>
      </c>
      <c r="J98" s="8">
        <f>Мособлдума_одномандатный_13[[#This Row],[Число избирателей, внесенных в список на момент окончания голосования]]</f>
        <v>901</v>
      </c>
      <c r="K98">
        <v>800</v>
      </c>
      <c r="L98" s="1"/>
      <c r="M98">
        <v>456</v>
      </c>
      <c r="N98">
        <v>31</v>
      </c>
      <c r="O98" s="3">
        <f t="shared" si="3"/>
        <v>54.05105438401776</v>
      </c>
      <c r="P98" s="3">
        <f t="shared" si="4"/>
        <v>3.4406215316315207</v>
      </c>
      <c r="Q98">
        <v>313</v>
      </c>
      <c r="R98">
        <v>31</v>
      </c>
      <c r="S98">
        <v>456</v>
      </c>
      <c r="T98" s="1">
        <f t="shared" si="5"/>
        <v>487</v>
      </c>
      <c r="U98" s="3">
        <f t="shared" si="6"/>
        <v>6.3655030800821359</v>
      </c>
      <c r="V98">
        <v>9</v>
      </c>
      <c r="W98" s="3">
        <f t="shared" si="7"/>
        <v>1.8480492813141685</v>
      </c>
      <c r="X98">
        <v>478</v>
      </c>
      <c r="Y98">
        <v>0</v>
      </c>
      <c r="Z98">
        <v>0</v>
      </c>
      <c r="AA98">
        <v>57</v>
      </c>
      <c r="AB98" s="3">
        <f t="shared" si="8"/>
        <v>11.704312114989733</v>
      </c>
      <c r="AC98">
        <v>1</v>
      </c>
      <c r="AD98" s="3">
        <f t="shared" si="9"/>
        <v>0.20533880903490759</v>
      </c>
      <c r="AE98">
        <v>18</v>
      </c>
      <c r="AF98" s="3">
        <f t="shared" si="10"/>
        <v>3.6960985626283369</v>
      </c>
      <c r="AG98">
        <v>24</v>
      </c>
      <c r="AH98" s="3">
        <f t="shared" si="11"/>
        <v>4.9281314168377826</v>
      </c>
      <c r="AI98">
        <v>20</v>
      </c>
      <c r="AJ98" s="3">
        <f t="shared" si="12"/>
        <v>4.1067761806981515</v>
      </c>
      <c r="AK98">
        <v>358</v>
      </c>
      <c r="AL98" s="3">
        <f t="shared" si="13"/>
        <v>73.511293634496923</v>
      </c>
      <c r="AM98" t="s">
        <v>369</v>
      </c>
      <c r="AN98" s="72" t="str">
        <f>Дума_партии[[#This Row],[КОИБ]]</f>
        <v>N</v>
      </c>
      <c r="AO98" s="1" t="str">
        <f>IF(Дума_партии[[#This Row],[Наблюдателей]]=0,"",Дума_партии[[#This Row],[Наблюдателей]])</f>
        <v/>
      </c>
      <c r="AP98" s="10">
        <f>Мособлдума_одномандатный_13[[#This Row],[Рожнов Олег Александрович]]-((AC$203/100)/(1-(AC$203/100)))*(Мособлдума_одномандатный_13[[#This Row],[Число действительных бюллетеней]]-Мособлдума_одномандатный_13[[#This Row],[Рожнов Олег Александрович]])</f>
        <v>317.142091152815</v>
      </c>
      <c r="AQ98" s="10">
        <f>2*(Мособлдума_одномандатный_13[[#This Row],[Рожнов Олег Александрович]]-(AC$203/100)*Мособлдума_одномандатный_13[[#This Row],[Число действительных бюллетеней]])</f>
        <v>473.17599999999999</v>
      </c>
      <c r="AR98" s="10">
        <f>(Мособлдума_одномандатный_13[[#This Row],[Вброс]]+Мособлдума_одномандатный_13[[#This Row],[Перекладывание]])/2</f>
        <v>395.15904557640749</v>
      </c>
    </row>
    <row r="99" spans="2:44" s="37" customFormat="1" hidden="1" x14ac:dyDescent="0.4">
      <c r="B99" s="33"/>
      <c r="C99" s="33"/>
      <c r="D99" s="33"/>
      <c r="E99" s="33"/>
      <c r="F99" s="33"/>
      <c r="G99" s="36"/>
      <c r="H99" s="40"/>
      <c r="I99" s="33"/>
      <c r="J99" s="36"/>
      <c r="K99" s="33"/>
      <c r="L99" s="33"/>
      <c r="M99" s="33"/>
      <c r="N99" s="33"/>
      <c r="Q99" s="33"/>
      <c r="R99" s="33"/>
      <c r="S99" s="33"/>
      <c r="T99" s="33"/>
      <c r="V99" s="33"/>
      <c r="X99" s="33"/>
      <c r="Y99" s="33"/>
      <c r="Z99" s="33"/>
      <c r="AA99" s="33"/>
      <c r="AC99" s="33"/>
      <c r="AE99" s="33"/>
      <c r="AG99" s="33"/>
      <c r="AI99" s="33"/>
      <c r="AK99" s="33"/>
      <c r="AM99" s="33"/>
      <c r="AN99" s="33"/>
      <c r="AO99" s="33"/>
      <c r="AP99" s="41"/>
      <c r="AQ99" s="41"/>
      <c r="AR99" s="41"/>
    </row>
    <row r="100" spans="2:44" s="37" customFormat="1" hidden="1" x14ac:dyDescent="0.4">
      <c r="B100" s="33"/>
      <c r="C100" s="33"/>
      <c r="D100" s="33"/>
      <c r="E100" s="33"/>
      <c r="F100" s="33"/>
      <c r="G100" s="36"/>
      <c r="H100" s="40"/>
      <c r="I100" s="33"/>
      <c r="J100" s="36"/>
      <c r="K100" s="33"/>
      <c r="L100" s="33"/>
      <c r="M100" s="33"/>
      <c r="N100" s="33"/>
      <c r="Q100" s="33"/>
      <c r="R100" s="33"/>
      <c r="S100" s="33"/>
      <c r="T100" s="33"/>
      <c r="V100" s="33"/>
      <c r="X100" s="33"/>
      <c r="Y100" s="33"/>
      <c r="Z100" s="33"/>
      <c r="AA100" s="33"/>
      <c r="AC100" s="33"/>
      <c r="AE100" s="33"/>
      <c r="AG100" s="33"/>
      <c r="AI100" s="33"/>
      <c r="AK100" s="33"/>
      <c r="AM100" s="33"/>
      <c r="AN100" s="33"/>
      <c r="AO100" s="33"/>
      <c r="AP100" s="41"/>
      <c r="AQ100" s="41"/>
      <c r="AR100" s="41"/>
    </row>
    <row r="101" spans="2:44" s="37" customFormat="1" hidden="1" x14ac:dyDescent="0.4">
      <c r="B101" s="33"/>
      <c r="C101" s="33"/>
      <c r="D101" s="33"/>
      <c r="E101" s="33"/>
      <c r="F101" s="33"/>
      <c r="G101" s="36"/>
      <c r="H101" s="40"/>
      <c r="I101" s="33"/>
      <c r="J101" s="36"/>
      <c r="K101" s="33"/>
      <c r="L101" s="33"/>
      <c r="M101" s="33"/>
      <c r="N101" s="33"/>
      <c r="Q101" s="33"/>
      <c r="R101" s="33"/>
      <c r="S101" s="33"/>
      <c r="T101" s="33"/>
      <c r="V101" s="33"/>
      <c r="X101" s="33"/>
      <c r="Y101" s="33"/>
      <c r="Z101" s="33"/>
      <c r="AA101" s="33"/>
      <c r="AC101" s="33"/>
      <c r="AE101" s="33"/>
      <c r="AG101" s="33"/>
      <c r="AI101" s="33"/>
      <c r="AK101" s="33"/>
      <c r="AM101" s="33"/>
      <c r="AN101" s="33"/>
      <c r="AO101" s="33"/>
      <c r="AP101" s="41"/>
      <c r="AQ101" s="41"/>
      <c r="AR101" s="41"/>
    </row>
    <row r="102" spans="2:44" s="37" customFormat="1" hidden="1" x14ac:dyDescent="0.4">
      <c r="B102" s="33"/>
      <c r="C102" s="33"/>
      <c r="D102" s="33"/>
      <c r="E102" s="33"/>
      <c r="F102" s="33"/>
      <c r="G102" s="36"/>
      <c r="H102" s="40"/>
      <c r="I102" s="33"/>
      <c r="J102" s="36"/>
      <c r="K102" s="33"/>
      <c r="L102" s="33"/>
      <c r="M102" s="33"/>
      <c r="N102" s="33"/>
      <c r="Q102" s="33"/>
      <c r="R102" s="33"/>
      <c r="S102" s="33"/>
      <c r="T102" s="33"/>
      <c r="V102" s="33"/>
      <c r="X102" s="33"/>
      <c r="Y102" s="33"/>
      <c r="Z102" s="33"/>
      <c r="AA102" s="33"/>
      <c r="AC102" s="33"/>
      <c r="AE102" s="33"/>
      <c r="AG102" s="33"/>
      <c r="AI102" s="33"/>
      <c r="AK102" s="33"/>
      <c r="AM102" s="33"/>
      <c r="AN102" s="33"/>
      <c r="AO102" s="33"/>
      <c r="AP102" s="41"/>
      <c r="AQ102" s="41"/>
      <c r="AR102" s="41"/>
    </row>
    <row r="103" spans="2:44" s="37" customFormat="1" hidden="1" x14ac:dyDescent="0.4">
      <c r="B103" s="33"/>
      <c r="C103" s="33"/>
      <c r="D103" s="33"/>
      <c r="E103" s="33"/>
      <c r="F103" s="33"/>
      <c r="G103" s="36"/>
      <c r="H103" s="40"/>
      <c r="I103" s="33"/>
      <c r="J103" s="36"/>
      <c r="K103" s="33"/>
      <c r="L103" s="33"/>
      <c r="M103" s="33"/>
      <c r="N103" s="33"/>
      <c r="Q103" s="33"/>
      <c r="R103" s="33"/>
      <c r="S103" s="33"/>
      <c r="T103" s="33"/>
      <c r="V103" s="33"/>
      <c r="X103" s="33"/>
      <c r="Y103" s="33"/>
      <c r="Z103" s="33"/>
      <c r="AA103" s="33"/>
      <c r="AC103" s="33"/>
      <c r="AE103" s="33"/>
      <c r="AG103" s="33"/>
      <c r="AI103" s="33"/>
      <c r="AK103" s="33"/>
      <c r="AM103" s="33"/>
      <c r="AN103" s="33"/>
      <c r="AO103" s="33"/>
      <c r="AP103" s="41"/>
      <c r="AQ103" s="41"/>
      <c r="AR103" s="41"/>
    </row>
    <row r="104" spans="2:44" s="37" customFormat="1" hidden="1" x14ac:dyDescent="0.4">
      <c r="B104" s="33"/>
      <c r="C104" s="33"/>
      <c r="D104" s="33"/>
      <c r="E104" s="33"/>
      <c r="F104" s="33"/>
      <c r="G104" s="36"/>
      <c r="H104" s="40"/>
      <c r="I104" s="33"/>
      <c r="J104" s="36"/>
      <c r="K104" s="33"/>
      <c r="L104" s="33"/>
      <c r="M104" s="33"/>
      <c r="N104" s="33"/>
      <c r="Q104" s="33"/>
      <c r="R104" s="33"/>
      <c r="S104" s="33"/>
      <c r="T104" s="33"/>
      <c r="V104" s="33"/>
      <c r="X104" s="33"/>
      <c r="Y104" s="33"/>
      <c r="Z104" s="33"/>
      <c r="AA104" s="33"/>
      <c r="AC104" s="33"/>
      <c r="AE104" s="33"/>
      <c r="AG104" s="33"/>
      <c r="AI104" s="33"/>
      <c r="AK104" s="33"/>
      <c r="AM104" s="33"/>
      <c r="AN104" s="33"/>
      <c r="AO104" s="33"/>
      <c r="AP104" s="41"/>
      <c r="AQ104" s="41"/>
      <c r="AR104" s="41"/>
    </row>
    <row r="105" spans="2:44" s="37" customFormat="1" hidden="1" x14ac:dyDescent="0.4">
      <c r="B105" s="33"/>
      <c r="C105" s="33"/>
      <c r="D105" s="33"/>
      <c r="E105" s="33"/>
      <c r="F105" s="33"/>
      <c r="G105" s="36"/>
      <c r="H105" s="40"/>
      <c r="I105" s="33"/>
      <c r="J105" s="36"/>
      <c r="K105" s="33"/>
      <c r="L105" s="33"/>
      <c r="M105" s="33"/>
      <c r="N105" s="33"/>
      <c r="Q105" s="33"/>
      <c r="R105" s="33"/>
      <c r="S105" s="33"/>
      <c r="T105" s="33"/>
      <c r="V105" s="33"/>
      <c r="X105" s="33"/>
      <c r="Y105" s="33"/>
      <c r="Z105" s="33"/>
      <c r="AA105" s="33"/>
      <c r="AC105" s="33"/>
      <c r="AE105" s="33"/>
      <c r="AG105" s="33"/>
      <c r="AI105" s="33"/>
      <c r="AK105" s="33"/>
      <c r="AM105" s="33"/>
      <c r="AN105" s="33"/>
      <c r="AO105" s="33"/>
      <c r="AP105" s="41"/>
      <c r="AQ105" s="41"/>
      <c r="AR105" s="41"/>
    </row>
    <row r="106" spans="2:44" s="37" customFormat="1" hidden="1" x14ac:dyDescent="0.4">
      <c r="B106" s="33"/>
      <c r="C106" s="33"/>
      <c r="D106" s="33"/>
      <c r="E106" s="33"/>
      <c r="F106" s="33"/>
      <c r="G106" s="36"/>
      <c r="H106" s="40"/>
      <c r="I106" s="33"/>
      <c r="J106" s="36"/>
      <c r="K106" s="33"/>
      <c r="L106" s="33"/>
      <c r="M106" s="33"/>
      <c r="N106" s="33"/>
      <c r="Q106" s="33"/>
      <c r="R106" s="33"/>
      <c r="S106" s="33"/>
      <c r="T106" s="33"/>
      <c r="V106" s="33"/>
      <c r="X106" s="33"/>
      <c r="Y106" s="33"/>
      <c r="Z106" s="33"/>
      <c r="AA106" s="33"/>
      <c r="AC106" s="33"/>
      <c r="AE106" s="33"/>
      <c r="AG106" s="33"/>
      <c r="AI106" s="33"/>
      <c r="AK106" s="33"/>
      <c r="AM106" s="33"/>
      <c r="AN106" s="33"/>
      <c r="AO106" s="33"/>
      <c r="AP106" s="41"/>
      <c r="AQ106" s="41"/>
      <c r="AR106" s="41"/>
    </row>
    <row r="107" spans="2:44" s="37" customFormat="1" hidden="1" x14ac:dyDescent="0.4">
      <c r="B107" s="33"/>
      <c r="C107" s="33"/>
      <c r="D107" s="33"/>
      <c r="E107" s="33"/>
      <c r="F107" s="33"/>
      <c r="G107" s="36"/>
      <c r="H107" s="40"/>
      <c r="I107" s="33"/>
      <c r="J107" s="36"/>
      <c r="K107" s="33"/>
      <c r="L107" s="33"/>
      <c r="M107" s="33"/>
      <c r="N107" s="33"/>
      <c r="Q107" s="33"/>
      <c r="R107" s="33"/>
      <c r="S107" s="33"/>
      <c r="T107" s="33"/>
      <c r="V107" s="33"/>
      <c r="X107" s="33"/>
      <c r="Y107" s="33"/>
      <c r="Z107" s="33"/>
      <c r="AA107" s="33"/>
      <c r="AC107" s="33"/>
      <c r="AE107" s="33"/>
      <c r="AG107" s="33"/>
      <c r="AI107" s="33"/>
      <c r="AK107" s="33"/>
      <c r="AM107" s="33"/>
      <c r="AN107" s="33"/>
      <c r="AO107" s="33"/>
      <c r="AP107" s="41"/>
      <c r="AQ107" s="41"/>
      <c r="AR107" s="41"/>
    </row>
    <row r="108" spans="2:44" s="37" customFormat="1" hidden="1" x14ac:dyDescent="0.4">
      <c r="B108" s="33"/>
      <c r="C108" s="33"/>
      <c r="D108" s="33"/>
      <c r="E108" s="33"/>
      <c r="F108" s="33"/>
      <c r="G108" s="36"/>
      <c r="H108" s="40"/>
      <c r="I108" s="33"/>
      <c r="J108" s="36"/>
      <c r="K108" s="33"/>
      <c r="L108" s="33"/>
      <c r="M108" s="33"/>
      <c r="N108" s="33"/>
      <c r="Q108" s="33"/>
      <c r="R108" s="33"/>
      <c r="S108" s="33"/>
      <c r="T108" s="33"/>
      <c r="V108" s="33"/>
      <c r="X108" s="33"/>
      <c r="Y108" s="33"/>
      <c r="Z108" s="33"/>
      <c r="AA108" s="33"/>
      <c r="AC108" s="33"/>
      <c r="AE108" s="33"/>
      <c r="AG108" s="33"/>
      <c r="AI108" s="33"/>
      <c r="AK108" s="33"/>
      <c r="AM108" s="33"/>
      <c r="AN108" s="33"/>
      <c r="AO108" s="33"/>
      <c r="AP108" s="41"/>
      <c r="AQ108" s="41"/>
      <c r="AR108" s="41"/>
    </row>
    <row r="109" spans="2:44" s="37" customFormat="1" hidden="1" x14ac:dyDescent="0.4">
      <c r="B109" s="33"/>
      <c r="C109" s="33"/>
      <c r="D109" s="33"/>
      <c r="E109" s="33"/>
      <c r="F109" s="33"/>
      <c r="G109" s="36"/>
      <c r="H109" s="40"/>
      <c r="I109" s="33"/>
      <c r="J109" s="36"/>
      <c r="K109" s="33"/>
      <c r="L109" s="33"/>
      <c r="M109" s="33"/>
      <c r="N109" s="33"/>
      <c r="Q109" s="33"/>
      <c r="R109" s="33"/>
      <c r="S109" s="33"/>
      <c r="T109" s="33"/>
      <c r="V109" s="33"/>
      <c r="X109" s="33"/>
      <c r="Y109" s="33"/>
      <c r="Z109" s="33"/>
      <c r="AA109" s="33"/>
      <c r="AC109" s="33"/>
      <c r="AE109" s="33"/>
      <c r="AG109" s="33"/>
      <c r="AI109" s="33"/>
      <c r="AK109" s="33"/>
      <c r="AM109" s="33"/>
      <c r="AN109" s="33"/>
      <c r="AO109" s="33"/>
      <c r="AP109" s="41"/>
      <c r="AQ109" s="41"/>
      <c r="AR109" s="41"/>
    </row>
    <row r="110" spans="2:44" s="37" customFormat="1" hidden="1" x14ac:dyDescent="0.4">
      <c r="B110" s="33"/>
      <c r="C110" s="33"/>
      <c r="D110" s="33"/>
      <c r="E110" s="33"/>
      <c r="F110" s="33"/>
      <c r="G110" s="36"/>
      <c r="H110" s="40"/>
      <c r="I110" s="33"/>
      <c r="J110" s="36"/>
      <c r="K110" s="33"/>
      <c r="L110" s="33"/>
      <c r="M110" s="33"/>
      <c r="N110" s="33"/>
      <c r="Q110" s="33"/>
      <c r="R110" s="33"/>
      <c r="S110" s="33"/>
      <c r="T110" s="33"/>
      <c r="V110" s="33"/>
      <c r="X110" s="33"/>
      <c r="Y110" s="33"/>
      <c r="Z110" s="33"/>
      <c r="AA110" s="33"/>
      <c r="AC110" s="33"/>
      <c r="AE110" s="33"/>
      <c r="AG110" s="33"/>
      <c r="AI110" s="33"/>
      <c r="AK110" s="33"/>
      <c r="AM110" s="33"/>
      <c r="AN110" s="33"/>
      <c r="AO110" s="33"/>
      <c r="AP110" s="41"/>
      <c r="AQ110" s="41"/>
      <c r="AR110" s="41"/>
    </row>
    <row r="111" spans="2:44" s="37" customFormat="1" hidden="1" x14ac:dyDescent="0.4">
      <c r="B111" s="33"/>
      <c r="C111" s="33"/>
      <c r="D111" s="33"/>
      <c r="E111" s="33"/>
      <c r="F111" s="33"/>
      <c r="G111" s="36"/>
      <c r="H111" s="40"/>
      <c r="I111" s="33"/>
      <c r="J111" s="36"/>
      <c r="K111" s="33"/>
      <c r="L111" s="33"/>
      <c r="M111" s="33"/>
      <c r="N111" s="33"/>
      <c r="Q111" s="33"/>
      <c r="R111" s="33"/>
      <c r="S111" s="33"/>
      <c r="T111" s="33"/>
      <c r="V111" s="33"/>
      <c r="X111" s="33"/>
      <c r="Y111" s="33"/>
      <c r="Z111" s="33"/>
      <c r="AA111" s="33"/>
      <c r="AC111" s="33"/>
      <c r="AE111" s="33"/>
      <c r="AG111" s="33"/>
      <c r="AI111" s="33"/>
      <c r="AK111" s="33"/>
      <c r="AM111" s="33"/>
      <c r="AN111" s="33"/>
      <c r="AO111" s="33"/>
      <c r="AP111" s="41"/>
      <c r="AQ111" s="41"/>
      <c r="AR111" s="41"/>
    </row>
    <row r="112" spans="2:44" s="37" customFormat="1" hidden="1" x14ac:dyDescent="0.4">
      <c r="B112" s="33"/>
      <c r="C112" s="33"/>
      <c r="D112" s="33"/>
      <c r="E112" s="33"/>
      <c r="F112" s="33"/>
      <c r="G112" s="36"/>
      <c r="H112" s="40"/>
      <c r="I112" s="33"/>
      <c r="J112" s="36"/>
      <c r="K112" s="33"/>
      <c r="L112" s="33"/>
      <c r="M112" s="33"/>
      <c r="N112" s="33"/>
      <c r="Q112" s="33"/>
      <c r="R112" s="33"/>
      <c r="S112" s="33"/>
      <c r="T112" s="33"/>
      <c r="V112" s="33"/>
      <c r="X112" s="33"/>
      <c r="Y112" s="33"/>
      <c r="Z112" s="33"/>
      <c r="AA112" s="33"/>
      <c r="AC112" s="33"/>
      <c r="AE112" s="33"/>
      <c r="AG112" s="33"/>
      <c r="AI112" s="33"/>
      <c r="AK112" s="33"/>
      <c r="AM112" s="33"/>
      <c r="AN112" s="33"/>
      <c r="AO112" s="33"/>
      <c r="AP112" s="41"/>
      <c r="AQ112" s="41"/>
      <c r="AR112" s="41"/>
    </row>
    <row r="113" spans="2:44" s="37" customFormat="1" hidden="1" x14ac:dyDescent="0.4">
      <c r="B113" s="33"/>
      <c r="C113" s="33"/>
      <c r="D113" s="33"/>
      <c r="E113" s="33"/>
      <c r="F113" s="33"/>
      <c r="G113" s="36"/>
      <c r="H113" s="40"/>
      <c r="I113" s="33"/>
      <c r="J113" s="36"/>
      <c r="K113" s="33"/>
      <c r="L113" s="33"/>
      <c r="M113" s="33"/>
      <c r="N113" s="33"/>
      <c r="Q113" s="33"/>
      <c r="R113" s="33"/>
      <c r="S113" s="33"/>
      <c r="T113" s="33"/>
      <c r="V113" s="33"/>
      <c r="X113" s="33"/>
      <c r="Y113" s="33"/>
      <c r="Z113" s="33"/>
      <c r="AA113" s="33"/>
      <c r="AC113" s="33"/>
      <c r="AE113" s="33"/>
      <c r="AG113" s="33"/>
      <c r="AI113" s="33"/>
      <c r="AK113" s="33"/>
      <c r="AM113" s="33"/>
      <c r="AN113" s="33"/>
      <c r="AO113" s="33"/>
      <c r="AP113" s="41"/>
      <c r="AQ113" s="41"/>
      <c r="AR113" s="41"/>
    </row>
    <row r="114" spans="2:44" s="37" customFormat="1" hidden="1" x14ac:dyDescent="0.4">
      <c r="B114" s="33"/>
      <c r="C114" s="33"/>
      <c r="D114" s="33"/>
      <c r="E114" s="33"/>
      <c r="F114" s="33"/>
      <c r="G114" s="36"/>
      <c r="H114" s="40"/>
      <c r="I114" s="33"/>
      <c r="J114" s="36"/>
      <c r="K114" s="33"/>
      <c r="L114" s="33"/>
      <c r="M114" s="33"/>
      <c r="N114" s="33"/>
      <c r="Q114" s="33"/>
      <c r="R114" s="33"/>
      <c r="S114" s="33"/>
      <c r="T114" s="33"/>
      <c r="V114" s="33"/>
      <c r="X114" s="33"/>
      <c r="Y114" s="33"/>
      <c r="Z114" s="33"/>
      <c r="AA114" s="33"/>
      <c r="AC114" s="33"/>
      <c r="AE114" s="33"/>
      <c r="AG114" s="33"/>
      <c r="AI114" s="33"/>
      <c r="AK114" s="33"/>
      <c r="AM114" s="33"/>
      <c r="AN114" s="33"/>
      <c r="AO114" s="33"/>
      <c r="AP114" s="41"/>
      <c r="AQ114" s="41"/>
      <c r="AR114" s="41"/>
    </row>
    <row r="115" spans="2:44" s="37" customFormat="1" hidden="1" x14ac:dyDescent="0.4">
      <c r="B115" s="33"/>
      <c r="C115" s="33"/>
      <c r="D115" s="33"/>
      <c r="E115" s="33"/>
      <c r="F115" s="33"/>
      <c r="G115" s="36"/>
      <c r="H115" s="40"/>
      <c r="I115" s="33"/>
      <c r="J115" s="36"/>
      <c r="K115" s="33"/>
      <c r="L115" s="33"/>
      <c r="M115" s="33"/>
      <c r="N115" s="33"/>
      <c r="Q115" s="33"/>
      <c r="R115" s="33"/>
      <c r="S115" s="33"/>
      <c r="T115" s="33"/>
      <c r="V115" s="33"/>
      <c r="X115" s="33"/>
      <c r="Y115" s="33"/>
      <c r="Z115" s="33"/>
      <c r="AA115" s="33"/>
      <c r="AC115" s="33"/>
      <c r="AE115" s="33"/>
      <c r="AG115" s="33"/>
      <c r="AI115" s="33"/>
      <c r="AK115" s="33"/>
      <c r="AM115" s="33"/>
      <c r="AN115" s="33"/>
      <c r="AO115" s="33"/>
      <c r="AP115" s="41"/>
      <c r="AQ115" s="41"/>
      <c r="AR115" s="41"/>
    </row>
    <row r="116" spans="2:44" s="37" customFormat="1" hidden="1" x14ac:dyDescent="0.4">
      <c r="B116" s="33"/>
      <c r="C116" s="33"/>
      <c r="D116" s="33"/>
      <c r="E116" s="33"/>
      <c r="F116" s="33"/>
      <c r="G116" s="36"/>
      <c r="H116" s="40"/>
      <c r="I116" s="33"/>
      <c r="J116" s="36"/>
      <c r="K116" s="33"/>
      <c r="L116" s="33"/>
      <c r="M116" s="33"/>
      <c r="N116" s="33"/>
      <c r="Q116" s="33"/>
      <c r="R116" s="33"/>
      <c r="S116" s="33"/>
      <c r="T116" s="33"/>
      <c r="V116" s="33"/>
      <c r="X116" s="33"/>
      <c r="Y116" s="33"/>
      <c r="Z116" s="33"/>
      <c r="AA116" s="33"/>
      <c r="AC116" s="33"/>
      <c r="AE116" s="33"/>
      <c r="AG116" s="33"/>
      <c r="AI116" s="33"/>
      <c r="AK116" s="33"/>
      <c r="AM116" s="33"/>
      <c r="AN116" s="33"/>
      <c r="AO116" s="33"/>
      <c r="AP116" s="41"/>
      <c r="AQ116" s="41"/>
      <c r="AR116" s="41"/>
    </row>
    <row r="117" spans="2:44" s="37" customFormat="1" hidden="1" x14ac:dyDescent="0.4">
      <c r="B117" s="33"/>
      <c r="C117" s="33"/>
      <c r="D117" s="33"/>
      <c r="E117" s="33"/>
      <c r="F117" s="33"/>
      <c r="G117" s="36"/>
      <c r="H117" s="40"/>
      <c r="I117" s="33"/>
      <c r="J117" s="36"/>
      <c r="K117" s="33"/>
      <c r="L117" s="33"/>
      <c r="M117" s="33"/>
      <c r="N117" s="33"/>
      <c r="Q117" s="33"/>
      <c r="R117" s="33"/>
      <c r="S117" s="33"/>
      <c r="T117" s="33"/>
      <c r="V117" s="33"/>
      <c r="X117" s="33"/>
      <c r="Y117" s="33"/>
      <c r="Z117" s="33"/>
      <c r="AA117" s="33"/>
      <c r="AC117" s="33"/>
      <c r="AE117" s="33"/>
      <c r="AG117" s="33"/>
      <c r="AI117" s="33"/>
      <c r="AK117" s="33"/>
      <c r="AM117" s="33"/>
      <c r="AN117" s="33"/>
      <c r="AO117" s="33"/>
      <c r="AP117" s="41"/>
      <c r="AQ117" s="41"/>
      <c r="AR117" s="41"/>
    </row>
    <row r="118" spans="2:44" s="37" customFormat="1" hidden="1" x14ac:dyDescent="0.4">
      <c r="B118" s="33"/>
      <c r="C118" s="33"/>
      <c r="D118" s="33"/>
      <c r="E118" s="33"/>
      <c r="F118" s="33"/>
      <c r="G118" s="36"/>
      <c r="H118" s="40"/>
      <c r="I118" s="33"/>
      <c r="J118" s="36"/>
      <c r="K118" s="33"/>
      <c r="L118" s="33"/>
      <c r="M118" s="33"/>
      <c r="N118" s="33"/>
      <c r="Q118" s="33"/>
      <c r="R118" s="33"/>
      <c r="S118" s="33"/>
      <c r="T118" s="33"/>
      <c r="V118" s="33"/>
      <c r="X118" s="33"/>
      <c r="Y118" s="33"/>
      <c r="Z118" s="33"/>
      <c r="AA118" s="33"/>
      <c r="AC118" s="33"/>
      <c r="AE118" s="33"/>
      <c r="AG118" s="33"/>
      <c r="AI118" s="33"/>
      <c r="AK118" s="33"/>
      <c r="AM118" s="33"/>
      <c r="AN118" s="33"/>
      <c r="AO118" s="33"/>
      <c r="AP118" s="41"/>
      <c r="AQ118" s="41"/>
      <c r="AR118" s="41"/>
    </row>
    <row r="119" spans="2:44" s="37" customFormat="1" hidden="1" x14ac:dyDescent="0.4">
      <c r="B119" s="33"/>
      <c r="C119" s="33"/>
      <c r="D119" s="33"/>
      <c r="E119" s="33"/>
      <c r="F119" s="33"/>
      <c r="G119" s="36"/>
      <c r="H119" s="40"/>
      <c r="I119" s="33"/>
      <c r="J119" s="36"/>
      <c r="K119" s="33"/>
      <c r="L119" s="33"/>
      <c r="M119" s="33"/>
      <c r="N119" s="33"/>
      <c r="Q119" s="33"/>
      <c r="R119" s="33"/>
      <c r="S119" s="33"/>
      <c r="T119" s="33"/>
      <c r="V119" s="33"/>
      <c r="X119" s="33"/>
      <c r="Y119" s="33"/>
      <c r="Z119" s="33"/>
      <c r="AA119" s="33"/>
      <c r="AC119" s="33"/>
      <c r="AE119" s="33"/>
      <c r="AG119" s="33"/>
      <c r="AI119" s="33"/>
      <c r="AK119" s="33"/>
      <c r="AM119" s="33"/>
      <c r="AN119" s="33"/>
      <c r="AO119" s="33"/>
      <c r="AP119" s="41"/>
      <c r="AQ119" s="41"/>
      <c r="AR119" s="41"/>
    </row>
    <row r="120" spans="2:44" s="37" customFormat="1" hidden="1" x14ac:dyDescent="0.4">
      <c r="B120" s="33"/>
      <c r="C120" s="33"/>
      <c r="D120" s="33"/>
      <c r="E120" s="33"/>
      <c r="F120" s="33"/>
      <c r="G120" s="36"/>
      <c r="H120" s="40"/>
      <c r="I120" s="33"/>
      <c r="J120" s="36"/>
      <c r="K120" s="33"/>
      <c r="L120" s="33"/>
      <c r="M120" s="33"/>
      <c r="N120" s="33"/>
      <c r="Q120" s="33"/>
      <c r="R120" s="33"/>
      <c r="S120" s="33"/>
      <c r="T120" s="33"/>
      <c r="V120" s="33"/>
      <c r="X120" s="33"/>
      <c r="Y120" s="33"/>
      <c r="Z120" s="33"/>
      <c r="AA120" s="33"/>
      <c r="AC120" s="33"/>
      <c r="AE120" s="33"/>
      <c r="AG120" s="33"/>
      <c r="AI120" s="33"/>
      <c r="AK120" s="33"/>
      <c r="AM120" s="33"/>
      <c r="AN120" s="33"/>
      <c r="AO120" s="33"/>
      <c r="AP120" s="41"/>
      <c r="AQ120" s="41"/>
      <c r="AR120" s="41"/>
    </row>
    <row r="121" spans="2:44" s="37" customFormat="1" hidden="1" x14ac:dyDescent="0.4">
      <c r="B121" s="33"/>
      <c r="C121" s="33"/>
      <c r="D121" s="33"/>
      <c r="E121" s="33"/>
      <c r="F121" s="33"/>
      <c r="G121" s="36"/>
      <c r="H121" s="40"/>
      <c r="I121" s="33"/>
      <c r="J121" s="36"/>
      <c r="K121" s="33"/>
      <c r="L121" s="33"/>
      <c r="M121" s="33"/>
      <c r="N121" s="33"/>
      <c r="Q121" s="33"/>
      <c r="R121" s="33"/>
      <c r="S121" s="33"/>
      <c r="T121" s="33"/>
      <c r="V121" s="33"/>
      <c r="X121" s="33"/>
      <c r="Y121" s="33"/>
      <c r="Z121" s="33"/>
      <c r="AA121" s="33"/>
      <c r="AC121" s="33"/>
      <c r="AE121" s="33"/>
      <c r="AG121" s="33"/>
      <c r="AI121" s="33"/>
      <c r="AK121" s="33"/>
      <c r="AM121" s="33"/>
      <c r="AN121" s="33"/>
      <c r="AO121" s="33"/>
      <c r="AP121" s="41"/>
      <c r="AQ121" s="41"/>
      <c r="AR121" s="41"/>
    </row>
    <row r="122" spans="2:44" s="37" customFormat="1" hidden="1" x14ac:dyDescent="0.4">
      <c r="B122" s="33"/>
      <c r="C122" s="33"/>
      <c r="D122" s="33"/>
      <c r="E122" s="33"/>
      <c r="F122" s="33"/>
      <c r="G122" s="36"/>
      <c r="H122" s="40"/>
      <c r="I122" s="33"/>
      <c r="J122" s="36"/>
      <c r="K122" s="33"/>
      <c r="L122" s="33"/>
      <c r="M122" s="33"/>
      <c r="N122" s="33"/>
      <c r="Q122" s="33"/>
      <c r="R122" s="33"/>
      <c r="S122" s="33"/>
      <c r="T122" s="33"/>
      <c r="V122" s="33"/>
      <c r="X122" s="33"/>
      <c r="Y122" s="33"/>
      <c r="Z122" s="33"/>
      <c r="AA122" s="33"/>
      <c r="AC122" s="33"/>
      <c r="AE122" s="33"/>
      <c r="AG122" s="33"/>
      <c r="AI122" s="33"/>
      <c r="AK122" s="33"/>
      <c r="AM122" s="33"/>
      <c r="AN122" s="33"/>
      <c r="AO122" s="33"/>
      <c r="AP122" s="41"/>
      <c r="AQ122" s="41"/>
      <c r="AR122" s="41"/>
    </row>
    <row r="123" spans="2:44" s="37" customFormat="1" hidden="1" x14ac:dyDescent="0.4">
      <c r="B123" s="33"/>
      <c r="C123" s="33"/>
      <c r="D123" s="33"/>
      <c r="E123" s="33"/>
      <c r="F123" s="33"/>
      <c r="G123" s="36"/>
      <c r="H123" s="40"/>
      <c r="I123" s="33"/>
      <c r="J123" s="36"/>
      <c r="K123" s="33"/>
      <c r="L123" s="33"/>
      <c r="M123" s="33"/>
      <c r="N123" s="33"/>
      <c r="Q123" s="33"/>
      <c r="R123" s="33"/>
      <c r="S123" s="33"/>
      <c r="T123" s="33"/>
      <c r="V123" s="33"/>
      <c r="X123" s="33"/>
      <c r="Y123" s="33"/>
      <c r="Z123" s="33"/>
      <c r="AA123" s="33"/>
      <c r="AC123" s="33"/>
      <c r="AE123" s="33"/>
      <c r="AG123" s="33"/>
      <c r="AI123" s="33"/>
      <c r="AK123" s="33"/>
      <c r="AM123" s="33"/>
      <c r="AN123" s="33"/>
      <c r="AO123" s="33"/>
      <c r="AP123" s="41"/>
      <c r="AQ123" s="41"/>
      <c r="AR123" s="41"/>
    </row>
    <row r="124" spans="2:44" s="37" customFormat="1" hidden="1" x14ac:dyDescent="0.4">
      <c r="B124" s="33"/>
      <c r="C124" s="33"/>
      <c r="D124" s="33"/>
      <c r="E124" s="33"/>
      <c r="F124" s="33"/>
      <c r="G124" s="36"/>
      <c r="H124" s="40"/>
      <c r="I124" s="33"/>
      <c r="J124" s="36"/>
      <c r="K124" s="33"/>
      <c r="L124" s="33"/>
      <c r="M124" s="33"/>
      <c r="N124" s="33"/>
      <c r="Q124" s="33"/>
      <c r="R124" s="33"/>
      <c r="S124" s="33"/>
      <c r="T124" s="33"/>
      <c r="V124" s="33"/>
      <c r="X124" s="33"/>
      <c r="Y124" s="33"/>
      <c r="Z124" s="33"/>
      <c r="AA124" s="33"/>
      <c r="AC124" s="33"/>
      <c r="AE124" s="33"/>
      <c r="AG124" s="33"/>
      <c r="AI124" s="33"/>
      <c r="AK124" s="33"/>
      <c r="AM124" s="33"/>
      <c r="AN124" s="33"/>
      <c r="AO124" s="33"/>
      <c r="AP124" s="41"/>
      <c r="AQ124" s="41"/>
      <c r="AR124" s="41"/>
    </row>
    <row r="125" spans="2:44" s="37" customFormat="1" hidden="1" x14ac:dyDescent="0.4">
      <c r="B125" s="33"/>
      <c r="C125" s="33"/>
      <c r="D125" s="33"/>
      <c r="E125" s="33"/>
      <c r="F125" s="33"/>
      <c r="G125" s="36"/>
      <c r="H125" s="40"/>
      <c r="I125" s="33"/>
      <c r="J125" s="36"/>
      <c r="K125" s="33"/>
      <c r="L125" s="33"/>
      <c r="M125" s="33"/>
      <c r="N125" s="33"/>
      <c r="Q125" s="33"/>
      <c r="R125" s="33"/>
      <c r="S125" s="33"/>
      <c r="T125" s="33"/>
      <c r="V125" s="33"/>
      <c r="X125" s="33"/>
      <c r="Y125" s="33"/>
      <c r="Z125" s="33"/>
      <c r="AA125" s="33"/>
      <c r="AC125" s="33"/>
      <c r="AE125" s="33"/>
      <c r="AG125" s="33"/>
      <c r="AI125" s="33"/>
      <c r="AK125" s="33"/>
      <c r="AM125" s="33"/>
      <c r="AN125" s="33"/>
      <c r="AO125" s="33"/>
      <c r="AP125" s="41"/>
      <c r="AQ125" s="41"/>
      <c r="AR125" s="41"/>
    </row>
    <row r="126" spans="2:44" s="37" customFormat="1" hidden="1" x14ac:dyDescent="0.4">
      <c r="B126" s="33"/>
      <c r="C126" s="33"/>
      <c r="D126" s="33"/>
      <c r="E126" s="33"/>
      <c r="F126" s="33"/>
      <c r="G126" s="36"/>
      <c r="H126" s="40"/>
      <c r="I126" s="33"/>
      <c r="J126" s="36"/>
      <c r="K126" s="33"/>
      <c r="L126" s="33"/>
      <c r="M126" s="33"/>
      <c r="N126" s="33"/>
      <c r="Q126" s="33"/>
      <c r="R126" s="33"/>
      <c r="S126" s="33"/>
      <c r="T126" s="33"/>
      <c r="V126" s="33"/>
      <c r="X126" s="33"/>
      <c r="Y126" s="33"/>
      <c r="Z126" s="33"/>
      <c r="AA126" s="33"/>
      <c r="AC126" s="33"/>
      <c r="AE126" s="33"/>
      <c r="AG126" s="33"/>
      <c r="AI126" s="33"/>
      <c r="AK126" s="33"/>
      <c r="AM126" s="33"/>
      <c r="AN126" s="33"/>
      <c r="AO126" s="33"/>
      <c r="AP126" s="41"/>
      <c r="AQ126" s="41"/>
      <c r="AR126" s="41"/>
    </row>
    <row r="127" spans="2:44" s="37" customFormat="1" hidden="1" x14ac:dyDescent="0.4">
      <c r="B127" s="33"/>
      <c r="C127" s="33"/>
      <c r="D127" s="33"/>
      <c r="E127" s="33"/>
      <c r="F127" s="33"/>
      <c r="G127" s="36"/>
      <c r="H127" s="40"/>
      <c r="I127" s="33"/>
      <c r="J127" s="36"/>
      <c r="K127" s="33"/>
      <c r="L127" s="33"/>
      <c r="M127" s="33"/>
      <c r="N127" s="33"/>
      <c r="Q127" s="33"/>
      <c r="R127" s="33"/>
      <c r="S127" s="33"/>
      <c r="T127" s="33"/>
      <c r="V127" s="33"/>
      <c r="X127" s="33"/>
      <c r="Y127" s="33"/>
      <c r="Z127" s="33"/>
      <c r="AA127" s="33"/>
      <c r="AC127" s="33"/>
      <c r="AE127" s="33"/>
      <c r="AG127" s="33"/>
      <c r="AI127" s="33"/>
      <c r="AK127" s="33"/>
      <c r="AM127" s="33"/>
      <c r="AN127" s="33"/>
      <c r="AO127" s="33"/>
      <c r="AP127" s="41"/>
      <c r="AQ127" s="41"/>
      <c r="AR127" s="41"/>
    </row>
    <row r="128" spans="2:44" s="37" customFormat="1" hidden="1" x14ac:dyDescent="0.4">
      <c r="B128" s="33"/>
      <c r="C128" s="33"/>
      <c r="D128" s="33"/>
      <c r="E128" s="33"/>
      <c r="F128" s="33"/>
      <c r="G128" s="36"/>
      <c r="H128" s="40"/>
      <c r="I128" s="33"/>
      <c r="J128" s="36"/>
      <c r="K128" s="33"/>
      <c r="L128" s="33"/>
      <c r="M128" s="33"/>
      <c r="N128" s="33"/>
      <c r="Q128" s="33"/>
      <c r="R128" s="33"/>
      <c r="S128" s="33"/>
      <c r="T128" s="33"/>
      <c r="V128" s="33"/>
      <c r="X128" s="33"/>
      <c r="Y128" s="33"/>
      <c r="Z128" s="33"/>
      <c r="AA128" s="33"/>
      <c r="AC128" s="33"/>
      <c r="AE128" s="33"/>
      <c r="AG128" s="33"/>
      <c r="AI128" s="33"/>
      <c r="AK128" s="33"/>
      <c r="AM128" s="33"/>
      <c r="AN128" s="33"/>
      <c r="AO128" s="33"/>
      <c r="AP128" s="41"/>
      <c r="AQ128" s="41"/>
      <c r="AR128" s="41"/>
    </row>
    <row r="129" spans="2:44" s="37" customFormat="1" hidden="1" x14ac:dyDescent="0.4">
      <c r="B129" s="33"/>
      <c r="C129" s="33"/>
      <c r="D129" s="33"/>
      <c r="E129" s="33"/>
      <c r="F129" s="33"/>
      <c r="G129" s="36"/>
      <c r="H129" s="40"/>
      <c r="I129" s="33"/>
      <c r="J129" s="36"/>
      <c r="K129" s="33"/>
      <c r="L129" s="33"/>
      <c r="M129" s="33"/>
      <c r="N129" s="33"/>
      <c r="Q129" s="33"/>
      <c r="R129" s="33"/>
      <c r="S129" s="33"/>
      <c r="T129" s="33"/>
      <c r="V129" s="33"/>
      <c r="X129" s="33"/>
      <c r="Y129" s="33"/>
      <c r="Z129" s="33"/>
      <c r="AA129" s="33"/>
      <c r="AC129" s="33"/>
      <c r="AE129" s="33"/>
      <c r="AG129" s="33"/>
      <c r="AI129" s="33"/>
      <c r="AK129" s="33"/>
      <c r="AM129" s="33"/>
      <c r="AN129" s="33"/>
      <c r="AO129" s="33"/>
      <c r="AP129" s="41"/>
      <c r="AQ129" s="41"/>
      <c r="AR129" s="41"/>
    </row>
    <row r="130" spans="2:44" s="37" customFormat="1" hidden="1" x14ac:dyDescent="0.4">
      <c r="B130" s="33"/>
      <c r="C130" s="33"/>
      <c r="D130" s="33"/>
      <c r="E130" s="33"/>
      <c r="F130" s="33"/>
      <c r="G130" s="36"/>
      <c r="H130" s="40"/>
      <c r="I130" s="33"/>
      <c r="J130" s="36"/>
      <c r="K130" s="33"/>
      <c r="L130" s="33"/>
      <c r="M130" s="33"/>
      <c r="N130" s="33"/>
      <c r="Q130" s="33"/>
      <c r="R130" s="33"/>
      <c r="S130" s="33"/>
      <c r="T130" s="33"/>
      <c r="V130" s="33"/>
      <c r="X130" s="33"/>
      <c r="Y130" s="33"/>
      <c r="Z130" s="33"/>
      <c r="AA130" s="33"/>
      <c r="AC130" s="33"/>
      <c r="AE130" s="33"/>
      <c r="AG130" s="33"/>
      <c r="AI130" s="33"/>
      <c r="AK130" s="33"/>
      <c r="AM130" s="33"/>
      <c r="AN130" s="33"/>
      <c r="AO130" s="33"/>
      <c r="AP130" s="41"/>
      <c r="AQ130" s="41"/>
      <c r="AR130" s="41"/>
    </row>
    <row r="131" spans="2:44" s="37" customFormat="1" hidden="1" x14ac:dyDescent="0.4">
      <c r="B131" s="33"/>
      <c r="C131" s="33"/>
      <c r="D131" s="33"/>
      <c r="E131" s="33"/>
      <c r="F131" s="33"/>
      <c r="G131" s="36"/>
      <c r="H131" s="40"/>
      <c r="I131" s="33"/>
      <c r="J131" s="36"/>
      <c r="K131" s="33"/>
      <c r="L131" s="33"/>
      <c r="M131" s="33"/>
      <c r="N131" s="33"/>
      <c r="Q131" s="33"/>
      <c r="R131" s="33"/>
      <c r="S131" s="33"/>
      <c r="T131" s="33"/>
      <c r="V131" s="33"/>
      <c r="X131" s="33"/>
      <c r="Y131" s="33"/>
      <c r="Z131" s="33"/>
      <c r="AA131" s="33"/>
      <c r="AC131" s="33"/>
      <c r="AE131" s="33"/>
      <c r="AG131" s="33"/>
      <c r="AI131" s="33"/>
      <c r="AK131" s="33"/>
      <c r="AM131" s="33"/>
      <c r="AN131" s="33"/>
      <c r="AO131" s="33"/>
      <c r="AP131" s="41"/>
      <c r="AQ131" s="41"/>
      <c r="AR131" s="41"/>
    </row>
    <row r="132" spans="2:44" s="37" customFormat="1" hidden="1" x14ac:dyDescent="0.4">
      <c r="B132" s="33"/>
      <c r="C132" s="33"/>
      <c r="D132" s="33"/>
      <c r="E132" s="33"/>
      <c r="F132" s="33"/>
      <c r="G132" s="36"/>
      <c r="H132" s="40"/>
      <c r="I132" s="33"/>
      <c r="J132" s="36"/>
      <c r="K132" s="33"/>
      <c r="L132" s="33"/>
      <c r="M132" s="33"/>
      <c r="N132" s="33"/>
      <c r="Q132" s="33"/>
      <c r="R132" s="33"/>
      <c r="S132" s="33"/>
      <c r="T132" s="33"/>
      <c r="V132" s="33"/>
      <c r="X132" s="33"/>
      <c r="Y132" s="33"/>
      <c r="Z132" s="33"/>
      <c r="AA132" s="33"/>
      <c r="AC132" s="33"/>
      <c r="AE132" s="33"/>
      <c r="AG132" s="33"/>
      <c r="AI132" s="33"/>
      <c r="AK132" s="33"/>
      <c r="AM132" s="33"/>
      <c r="AN132" s="33"/>
      <c r="AO132" s="33"/>
      <c r="AP132" s="41"/>
      <c r="AQ132" s="41"/>
      <c r="AR132" s="41"/>
    </row>
    <row r="133" spans="2:44" s="37" customFormat="1" hidden="1" x14ac:dyDescent="0.4">
      <c r="B133" s="33"/>
      <c r="C133" s="33"/>
      <c r="D133" s="33"/>
      <c r="E133" s="33"/>
      <c r="F133" s="33"/>
      <c r="G133" s="36"/>
      <c r="H133" s="40"/>
      <c r="I133" s="33"/>
      <c r="J133" s="36"/>
      <c r="K133" s="33"/>
      <c r="L133" s="33"/>
      <c r="M133" s="33"/>
      <c r="N133" s="33"/>
      <c r="Q133" s="33"/>
      <c r="R133" s="33"/>
      <c r="S133" s="33"/>
      <c r="T133" s="33"/>
      <c r="V133" s="33"/>
      <c r="X133" s="33"/>
      <c r="Y133" s="33"/>
      <c r="Z133" s="33"/>
      <c r="AA133" s="33"/>
      <c r="AC133" s="33"/>
      <c r="AE133" s="33"/>
      <c r="AG133" s="33"/>
      <c r="AI133" s="33"/>
      <c r="AK133" s="33"/>
      <c r="AM133" s="33"/>
      <c r="AN133" s="33"/>
      <c r="AO133" s="33"/>
      <c r="AP133" s="41"/>
      <c r="AQ133" s="41"/>
      <c r="AR133" s="41"/>
    </row>
    <row r="134" spans="2:44" s="37" customFormat="1" hidden="1" x14ac:dyDescent="0.4">
      <c r="B134" s="33"/>
      <c r="C134" s="33"/>
      <c r="D134" s="33"/>
      <c r="E134" s="33"/>
      <c r="F134" s="33"/>
      <c r="G134" s="36"/>
      <c r="H134" s="40"/>
      <c r="I134" s="33"/>
      <c r="J134" s="36"/>
      <c r="K134" s="33"/>
      <c r="L134" s="33"/>
      <c r="M134" s="33"/>
      <c r="N134" s="33"/>
      <c r="Q134" s="33"/>
      <c r="R134" s="33"/>
      <c r="S134" s="33"/>
      <c r="T134" s="33"/>
      <c r="V134" s="33"/>
      <c r="X134" s="33"/>
      <c r="Y134" s="33"/>
      <c r="Z134" s="33"/>
      <c r="AA134" s="33"/>
      <c r="AC134" s="33"/>
      <c r="AE134" s="33"/>
      <c r="AG134" s="33"/>
      <c r="AI134" s="33"/>
      <c r="AK134" s="33"/>
      <c r="AM134" s="33"/>
      <c r="AN134" s="33"/>
      <c r="AO134" s="33"/>
      <c r="AP134" s="41"/>
      <c r="AQ134" s="41"/>
      <c r="AR134" s="41"/>
    </row>
    <row r="135" spans="2:44" s="37" customFormat="1" hidden="1" x14ac:dyDescent="0.4">
      <c r="B135" s="33"/>
      <c r="C135" s="33"/>
      <c r="D135" s="33"/>
      <c r="E135" s="33"/>
      <c r="F135" s="33"/>
      <c r="G135" s="36"/>
      <c r="H135" s="40"/>
      <c r="I135" s="33"/>
      <c r="J135" s="36"/>
      <c r="K135" s="33"/>
      <c r="L135" s="33"/>
      <c r="M135" s="33"/>
      <c r="N135" s="33"/>
      <c r="Q135" s="33"/>
      <c r="R135" s="33"/>
      <c r="S135" s="33"/>
      <c r="T135" s="33"/>
      <c r="V135" s="33"/>
      <c r="X135" s="33"/>
      <c r="Y135" s="33"/>
      <c r="Z135" s="33"/>
      <c r="AA135" s="33"/>
      <c r="AC135" s="33"/>
      <c r="AE135" s="33"/>
      <c r="AG135" s="33"/>
      <c r="AI135" s="33"/>
      <c r="AK135" s="33"/>
      <c r="AM135" s="33"/>
      <c r="AN135" s="33"/>
      <c r="AO135" s="33"/>
      <c r="AP135" s="41"/>
      <c r="AQ135" s="41"/>
      <c r="AR135" s="41"/>
    </row>
    <row r="136" spans="2:44" s="37" customFormat="1" hidden="1" x14ac:dyDescent="0.4">
      <c r="B136" s="33"/>
      <c r="C136" s="33"/>
      <c r="D136" s="33"/>
      <c r="E136" s="33"/>
      <c r="F136" s="33"/>
      <c r="G136" s="36"/>
      <c r="H136" s="40"/>
      <c r="I136" s="33"/>
      <c r="J136" s="36"/>
      <c r="K136" s="33"/>
      <c r="L136" s="33"/>
      <c r="M136" s="33"/>
      <c r="N136" s="33"/>
      <c r="Q136" s="33"/>
      <c r="R136" s="33"/>
      <c r="S136" s="33"/>
      <c r="T136" s="33"/>
      <c r="V136" s="33"/>
      <c r="X136" s="33"/>
      <c r="Y136" s="33"/>
      <c r="Z136" s="33"/>
      <c r="AA136" s="33"/>
      <c r="AC136" s="33"/>
      <c r="AE136" s="33"/>
      <c r="AG136" s="33"/>
      <c r="AI136" s="33"/>
      <c r="AK136" s="33"/>
      <c r="AM136" s="33"/>
      <c r="AN136" s="33"/>
      <c r="AO136" s="33"/>
      <c r="AP136" s="41"/>
      <c r="AQ136" s="41"/>
      <c r="AR136" s="41"/>
    </row>
    <row r="137" spans="2:44" s="37" customFormat="1" hidden="1" x14ac:dyDescent="0.4">
      <c r="B137" s="33"/>
      <c r="C137" s="33"/>
      <c r="D137" s="33"/>
      <c r="E137" s="33"/>
      <c r="F137" s="33"/>
      <c r="G137" s="36"/>
      <c r="H137" s="40"/>
      <c r="I137" s="33"/>
      <c r="J137" s="36"/>
      <c r="K137" s="33"/>
      <c r="L137" s="33"/>
      <c r="M137" s="33"/>
      <c r="N137" s="33"/>
      <c r="Q137" s="33"/>
      <c r="R137" s="33"/>
      <c r="S137" s="33"/>
      <c r="T137" s="33"/>
      <c r="V137" s="33"/>
      <c r="X137" s="33"/>
      <c r="Y137" s="33"/>
      <c r="Z137" s="33"/>
      <c r="AA137" s="33"/>
      <c r="AC137" s="33"/>
      <c r="AE137" s="33"/>
      <c r="AG137" s="33"/>
      <c r="AI137" s="33"/>
      <c r="AK137" s="33"/>
      <c r="AM137" s="33"/>
      <c r="AN137" s="33"/>
      <c r="AO137" s="33"/>
      <c r="AP137" s="41"/>
      <c r="AQ137" s="41"/>
      <c r="AR137" s="41"/>
    </row>
    <row r="138" spans="2:44" s="37" customFormat="1" hidden="1" x14ac:dyDescent="0.4">
      <c r="B138" s="33"/>
      <c r="C138" s="33"/>
      <c r="D138" s="33"/>
      <c r="E138" s="33"/>
      <c r="F138" s="33"/>
      <c r="G138" s="36"/>
      <c r="H138" s="40"/>
      <c r="I138" s="33"/>
      <c r="J138" s="36"/>
      <c r="K138" s="33"/>
      <c r="L138" s="33"/>
      <c r="M138" s="33"/>
      <c r="N138" s="33"/>
      <c r="Q138" s="33"/>
      <c r="R138" s="33"/>
      <c r="S138" s="33"/>
      <c r="T138" s="33"/>
      <c r="V138" s="33"/>
      <c r="X138" s="33"/>
      <c r="Y138" s="33"/>
      <c r="Z138" s="33"/>
      <c r="AA138" s="33"/>
      <c r="AC138" s="33"/>
      <c r="AE138" s="33"/>
      <c r="AG138" s="33"/>
      <c r="AI138" s="33"/>
      <c r="AK138" s="33"/>
      <c r="AM138" s="33"/>
      <c r="AN138" s="33"/>
      <c r="AO138" s="33"/>
      <c r="AP138" s="41"/>
      <c r="AQ138" s="41"/>
      <c r="AR138" s="41"/>
    </row>
    <row r="139" spans="2:44" s="37" customFormat="1" hidden="1" x14ac:dyDescent="0.4">
      <c r="B139" s="33"/>
      <c r="C139" s="33"/>
      <c r="D139" s="33"/>
      <c r="E139" s="33"/>
      <c r="F139" s="33"/>
      <c r="G139" s="36"/>
      <c r="H139" s="40"/>
      <c r="I139" s="33"/>
      <c r="J139" s="36"/>
      <c r="K139" s="33"/>
      <c r="L139" s="33"/>
      <c r="M139" s="33"/>
      <c r="N139" s="33"/>
      <c r="Q139" s="33"/>
      <c r="R139" s="33"/>
      <c r="S139" s="33"/>
      <c r="T139" s="33"/>
      <c r="V139" s="33"/>
      <c r="X139" s="33"/>
      <c r="Y139" s="33"/>
      <c r="Z139" s="33"/>
      <c r="AA139" s="33"/>
      <c r="AC139" s="33"/>
      <c r="AE139" s="33"/>
      <c r="AG139" s="33"/>
      <c r="AI139" s="33"/>
      <c r="AK139" s="33"/>
      <c r="AM139" s="33"/>
      <c r="AN139" s="33"/>
      <c r="AO139" s="33"/>
      <c r="AP139" s="41"/>
      <c r="AQ139" s="41"/>
      <c r="AR139" s="41"/>
    </row>
    <row r="140" spans="2:44" s="37" customFormat="1" hidden="1" x14ac:dyDescent="0.4">
      <c r="B140" s="33"/>
      <c r="C140" s="33"/>
      <c r="D140" s="33"/>
      <c r="E140" s="33"/>
      <c r="F140" s="33"/>
      <c r="G140" s="36"/>
      <c r="H140" s="40"/>
      <c r="I140" s="33"/>
      <c r="J140" s="36"/>
      <c r="K140" s="33"/>
      <c r="L140" s="33"/>
      <c r="M140" s="33"/>
      <c r="N140" s="33"/>
      <c r="Q140" s="33"/>
      <c r="R140" s="33"/>
      <c r="S140" s="33"/>
      <c r="T140" s="33"/>
      <c r="V140" s="33"/>
      <c r="X140" s="33"/>
      <c r="Y140" s="33"/>
      <c r="Z140" s="33"/>
      <c r="AA140" s="33"/>
      <c r="AC140" s="33"/>
      <c r="AE140" s="33"/>
      <c r="AG140" s="33"/>
      <c r="AI140" s="33"/>
      <c r="AK140" s="33"/>
      <c r="AM140" s="33"/>
      <c r="AN140" s="33"/>
      <c r="AO140" s="33"/>
      <c r="AP140" s="41"/>
      <c r="AQ140" s="41"/>
      <c r="AR140" s="41"/>
    </row>
    <row r="141" spans="2:44" s="37" customFormat="1" hidden="1" x14ac:dyDescent="0.4">
      <c r="B141" s="33"/>
      <c r="C141" s="33"/>
      <c r="D141" s="33"/>
      <c r="E141" s="33"/>
      <c r="F141" s="33"/>
      <c r="G141" s="36"/>
      <c r="H141" s="40"/>
      <c r="I141" s="33"/>
      <c r="J141" s="36"/>
      <c r="K141" s="33"/>
      <c r="L141" s="33"/>
      <c r="M141" s="33"/>
      <c r="N141" s="33"/>
      <c r="Q141" s="33"/>
      <c r="R141" s="33"/>
      <c r="S141" s="33"/>
      <c r="T141" s="33"/>
      <c r="V141" s="33"/>
      <c r="X141" s="33"/>
      <c r="Y141" s="33"/>
      <c r="Z141" s="33"/>
      <c r="AA141" s="33"/>
      <c r="AC141" s="33"/>
      <c r="AE141" s="33"/>
      <c r="AG141" s="33"/>
      <c r="AI141" s="33"/>
      <c r="AK141" s="33"/>
      <c r="AM141" s="33"/>
      <c r="AN141" s="33"/>
      <c r="AO141" s="33"/>
      <c r="AP141" s="41"/>
      <c r="AQ141" s="41"/>
      <c r="AR141" s="41"/>
    </row>
    <row r="142" spans="2:44" s="37" customFormat="1" hidden="1" x14ac:dyDescent="0.4">
      <c r="B142" s="33"/>
      <c r="C142" s="33"/>
      <c r="D142" s="33"/>
      <c r="E142" s="33"/>
      <c r="F142" s="33"/>
      <c r="G142" s="36"/>
      <c r="H142" s="40"/>
      <c r="I142" s="33"/>
      <c r="J142" s="36"/>
      <c r="K142" s="33"/>
      <c r="L142" s="33"/>
      <c r="M142" s="33"/>
      <c r="N142" s="33"/>
      <c r="Q142" s="33"/>
      <c r="R142" s="33"/>
      <c r="S142" s="33"/>
      <c r="T142" s="33"/>
      <c r="V142" s="33"/>
      <c r="X142" s="33"/>
      <c r="Y142" s="33"/>
      <c r="Z142" s="33"/>
      <c r="AA142" s="33"/>
      <c r="AC142" s="33"/>
      <c r="AE142" s="33"/>
      <c r="AG142" s="33"/>
      <c r="AI142" s="33"/>
      <c r="AK142" s="33"/>
      <c r="AM142" s="33"/>
      <c r="AN142" s="33"/>
      <c r="AO142" s="33"/>
      <c r="AP142" s="41"/>
      <c r="AQ142" s="41"/>
      <c r="AR142" s="41"/>
    </row>
    <row r="143" spans="2:44" s="37" customFormat="1" hidden="1" x14ac:dyDescent="0.4">
      <c r="B143" s="33"/>
      <c r="C143" s="33"/>
      <c r="D143" s="33"/>
      <c r="E143" s="33"/>
      <c r="F143" s="33"/>
      <c r="G143" s="36"/>
      <c r="H143" s="40"/>
      <c r="I143" s="33"/>
      <c r="J143" s="36"/>
      <c r="K143" s="33"/>
      <c r="L143" s="33"/>
      <c r="M143" s="33"/>
      <c r="N143" s="33"/>
      <c r="Q143" s="33"/>
      <c r="R143" s="33"/>
      <c r="S143" s="33"/>
      <c r="T143" s="33"/>
      <c r="V143" s="33"/>
      <c r="X143" s="33"/>
      <c r="Y143" s="33"/>
      <c r="Z143" s="33"/>
      <c r="AA143" s="33"/>
      <c r="AC143" s="33"/>
      <c r="AE143" s="33"/>
      <c r="AG143" s="33"/>
      <c r="AI143" s="33"/>
      <c r="AK143" s="33"/>
      <c r="AM143" s="33"/>
      <c r="AN143" s="33"/>
      <c r="AO143" s="33"/>
      <c r="AP143" s="41"/>
      <c r="AQ143" s="41"/>
      <c r="AR143" s="41"/>
    </row>
    <row r="144" spans="2:44" s="37" customFormat="1" hidden="1" x14ac:dyDescent="0.4">
      <c r="B144" s="33"/>
      <c r="C144" s="33"/>
      <c r="D144" s="33"/>
      <c r="E144" s="33"/>
      <c r="F144" s="33"/>
      <c r="G144" s="36"/>
      <c r="H144" s="40"/>
      <c r="I144" s="33"/>
      <c r="J144" s="36"/>
      <c r="K144" s="33"/>
      <c r="L144" s="33"/>
      <c r="M144" s="33"/>
      <c r="N144" s="33"/>
      <c r="Q144" s="33"/>
      <c r="R144" s="33"/>
      <c r="S144" s="33"/>
      <c r="T144" s="33"/>
      <c r="V144" s="33"/>
      <c r="X144" s="33"/>
      <c r="Y144" s="33"/>
      <c r="Z144" s="33"/>
      <c r="AA144" s="33"/>
      <c r="AC144" s="33"/>
      <c r="AE144" s="33"/>
      <c r="AG144" s="33"/>
      <c r="AI144" s="33"/>
      <c r="AK144" s="33"/>
      <c r="AM144" s="33"/>
      <c r="AN144" s="33"/>
      <c r="AO144" s="33"/>
      <c r="AP144" s="41"/>
      <c r="AQ144" s="41"/>
      <c r="AR144" s="41"/>
    </row>
    <row r="145" spans="2:44" s="37" customFormat="1" hidden="1" x14ac:dyDescent="0.4">
      <c r="B145" s="33"/>
      <c r="C145" s="33"/>
      <c r="D145" s="33"/>
      <c r="E145" s="33"/>
      <c r="F145" s="33"/>
      <c r="G145" s="36"/>
      <c r="H145" s="40"/>
      <c r="I145" s="33"/>
      <c r="J145" s="36"/>
      <c r="K145" s="33"/>
      <c r="L145" s="33"/>
      <c r="M145" s="33"/>
      <c r="N145" s="33"/>
      <c r="Q145" s="33"/>
      <c r="R145" s="33"/>
      <c r="S145" s="33"/>
      <c r="T145" s="33"/>
      <c r="V145" s="33"/>
      <c r="X145" s="33"/>
      <c r="Y145" s="33"/>
      <c r="Z145" s="33"/>
      <c r="AA145" s="33"/>
      <c r="AC145" s="33"/>
      <c r="AE145" s="33"/>
      <c r="AG145" s="33"/>
      <c r="AI145" s="33"/>
      <c r="AK145" s="33"/>
      <c r="AM145" s="33"/>
      <c r="AN145" s="33"/>
      <c r="AO145" s="33"/>
      <c r="AP145" s="41"/>
      <c r="AQ145" s="41"/>
      <c r="AR145" s="41"/>
    </row>
    <row r="146" spans="2:44" s="37" customFormat="1" hidden="1" x14ac:dyDescent="0.4">
      <c r="B146" s="33"/>
      <c r="C146" s="33"/>
      <c r="D146" s="33"/>
      <c r="E146" s="33"/>
      <c r="F146" s="33"/>
      <c r="G146" s="36"/>
      <c r="H146" s="40"/>
      <c r="I146" s="33"/>
      <c r="J146" s="36"/>
      <c r="K146" s="33"/>
      <c r="L146" s="33"/>
      <c r="M146" s="33"/>
      <c r="N146" s="33"/>
      <c r="Q146" s="33"/>
      <c r="R146" s="33"/>
      <c r="S146" s="33"/>
      <c r="T146" s="33"/>
      <c r="V146" s="33"/>
      <c r="X146" s="33"/>
      <c r="Y146" s="33"/>
      <c r="Z146" s="33"/>
      <c r="AA146" s="33"/>
      <c r="AC146" s="33"/>
      <c r="AE146" s="33"/>
      <c r="AG146" s="33"/>
      <c r="AI146" s="33"/>
      <c r="AK146" s="33"/>
      <c r="AM146" s="33"/>
      <c r="AN146" s="33"/>
      <c r="AO146" s="33"/>
      <c r="AP146" s="41"/>
      <c r="AQ146" s="41"/>
      <c r="AR146" s="41"/>
    </row>
    <row r="147" spans="2:44" s="37" customFormat="1" hidden="1" x14ac:dyDescent="0.4">
      <c r="B147" s="33"/>
      <c r="C147" s="33"/>
      <c r="D147" s="33"/>
      <c r="E147" s="33"/>
      <c r="F147" s="33"/>
      <c r="G147" s="36"/>
      <c r="H147" s="40"/>
      <c r="I147" s="33"/>
      <c r="J147" s="36"/>
      <c r="K147" s="33"/>
      <c r="L147" s="33"/>
      <c r="M147" s="33"/>
      <c r="N147" s="33"/>
      <c r="Q147" s="33"/>
      <c r="R147" s="33"/>
      <c r="S147" s="33"/>
      <c r="T147" s="33"/>
      <c r="V147" s="33"/>
      <c r="X147" s="33"/>
      <c r="Y147" s="33"/>
      <c r="Z147" s="33"/>
      <c r="AA147" s="33"/>
      <c r="AC147" s="33"/>
      <c r="AE147" s="33"/>
      <c r="AG147" s="33"/>
      <c r="AI147" s="33"/>
      <c r="AK147" s="33"/>
      <c r="AM147" s="33"/>
      <c r="AN147" s="33"/>
      <c r="AO147" s="33"/>
      <c r="AP147" s="41"/>
      <c r="AQ147" s="41"/>
      <c r="AR147" s="41"/>
    </row>
    <row r="148" spans="2:44" s="37" customFormat="1" hidden="1" x14ac:dyDescent="0.4">
      <c r="B148" s="33"/>
      <c r="C148" s="33"/>
      <c r="D148" s="33"/>
      <c r="E148" s="33"/>
      <c r="F148" s="33"/>
      <c r="G148" s="36"/>
      <c r="H148" s="40"/>
      <c r="I148" s="33"/>
      <c r="J148" s="36"/>
      <c r="K148" s="33"/>
      <c r="L148" s="33"/>
      <c r="M148" s="33"/>
      <c r="N148" s="33"/>
      <c r="Q148" s="33"/>
      <c r="R148" s="33"/>
      <c r="S148" s="33"/>
      <c r="T148" s="33"/>
      <c r="V148" s="33"/>
      <c r="X148" s="33"/>
      <c r="Y148" s="33"/>
      <c r="Z148" s="33"/>
      <c r="AA148" s="33"/>
      <c r="AC148" s="33"/>
      <c r="AE148" s="33"/>
      <c r="AG148" s="33"/>
      <c r="AI148" s="33"/>
      <c r="AK148" s="33"/>
      <c r="AM148" s="33"/>
      <c r="AN148" s="33"/>
      <c r="AO148" s="33"/>
      <c r="AP148" s="41"/>
      <c r="AQ148" s="41"/>
      <c r="AR148" s="41"/>
    </row>
    <row r="149" spans="2:44" s="37" customFormat="1" hidden="1" x14ac:dyDescent="0.4">
      <c r="B149" s="33"/>
      <c r="C149" s="33"/>
      <c r="D149" s="33"/>
      <c r="E149" s="33"/>
      <c r="F149" s="33"/>
      <c r="G149" s="36"/>
      <c r="H149" s="40"/>
      <c r="I149" s="33"/>
      <c r="J149" s="36"/>
      <c r="K149" s="33"/>
      <c r="L149" s="33"/>
      <c r="M149" s="33"/>
      <c r="N149" s="33"/>
      <c r="Q149" s="33"/>
      <c r="R149" s="33"/>
      <c r="S149" s="33"/>
      <c r="T149" s="33"/>
      <c r="V149" s="33"/>
      <c r="X149" s="33"/>
      <c r="Y149" s="33"/>
      <c r="Z149" s="33"/>
      <c r="AA149" s="33"/>
      <c r="AC149" s="33"/>
      <c r="AE149" s="33"/>
      <c r="AG149" s="33"/>
      <c r="AI149" s="33"/>
      <c r="AK149" s="33"/>
      <c r="AM149" s="33"/>
      <c r="AN149" s="33"/>
      <c r="AO149" s="33"/>
      <c r="AP149" s="41"/>
      <c r="AQ149" s="41"/>
      <c r="AR149" s="41"/>
    </row>
    <row r="150" spans="2:44" s="37" customFormat="1" hidden="1" x14ac:dyDescent="0.4">
      <c r="B150" s="33"/>
      <c r="C150" s="33"/>
      <c r="D150" s="33"/>
      <c r="E150" s="33"/>
      <c r="F150" s="33"/>
      <c r="G150" s="36"/>
      <c r="H150" s="40"/>
      <c r="I150" s="33"/>
      <c r="J150" s="36"/>
      <c r="K150" s="33"/>
      <c r="L150" s="33"/>
      <c r="M150" s="33"/>
      <c r="N150" s="33"/>
      <c r="Q150" s="33"/>
      <c r="R150" s="33"/>
      <c r="S150" s="33"/>
      <c r="T150" s="33"/>
      <c r="V150" s="33"/>
      <c r="X150" s="33"/>
      <c r="Y150" s="33"/>
      <c r="Z150" s="33"/>
      <c r="AA150" s="33"/>
      <c r="AC150" s="33"/>
      <c r="AE150" s="33"/>
      <c r="AG150" s="33"/>
      <c r="AI150" s="33"/>
      <c r="AK150" s="33"/>
      <c r="AM150" s="33"/>
      <c r="AN150" s="33"/>
      <c r="AO150" s="33"/>
      <c r="AP150" s="41"/>
      <c r="AQ150" s="41"/>
      <c r="AR150" s="41"/>
    </row>
    <row r="151" spans="2:44" s="37" customFormat="1" hidden="1" x14ac:dyDescent="0.4">
      <c r="B151" s="33"/>
      <c r="C151" s="33"/>
      <c r="D151" s="33"/>
      <c r="E151" s="33"/>
      <c r="F151" s="33"/>
      <c r="G151" s="36"/>
      <c r="H151" s="40"/>
      <c r="I151" s="33"/>
      <c r="J151" s="36"/>
      <c r="K151" s="33"/>
      <c r="L151" s="33"/>
      <c r="M151" s="33"/>
      <c r="N151" s="33"/>
      <c r="Q151" s="33"/>
      <c r="R151" s="33"/>
      <c r="S151" s="33"/>
      <c r="T151" s="33"/>
      <c r="V151" s="33"/>
      <c r="X151" s="33"/>
      <c r="Y151" s="33"/>
      <c r="Z151" s="33"/>
      <c r="AA151" s="33"/>
      <c r="AC151" s="33"/>
      <c r="AE151" s="33"/>
      <c r="AG151" s="33"/>
      <c r="AI151" s="33"/>
      <c r="AK151" s="33"/>
      <c r="AM151" s="33"/>
      <c r="AN151" s="33"/>
      <c r="AO151" s="33"/>
      <c r="AP151" s="41"/>
      <c r="AQ151" s="41"/>
      <c r="AR151" s="41"/>
    </row>
    <row r="152" spans="2:44" s="37" customFormat="1" hidden="1" x14ac:dyDescent="0.4">
      <c r="B152" s="33"/>
      <c r="C152" s="33"/>
      <c r="D152" s="33"/>
      <c r="E152" s="33"/>
      <c r="F152" s="33"/>
      <c r="G152" s="36"/>
      <c r="H152" s="40"/>
      <c r="I152" s="33"/>
      <c r="J152" s="36"/>
      <c r="K152" s="33"/>
      <c r="L152" s="33"/>
      <c r="M152" s="33"/>
      <c r="N152" s="33"/>
      <c r="Q152" s="33"/>
      <c r="R152" s="33"/>
      <c r="S152" s="33"/>
      <c r="T152" s="33"/>
      <c r="V152" s="33"/>
      <c r="X152" s="33"/>
      <c r="Y152" s="33"/>
      <c r="Z152" s="33"/>
      <c r="AA152" s="33"/>
      <c r="AC152" s="33"/>
      <c r="AE152" s="33"/>
      <c r="AG152" s="33"/>
      <c r="AI152" s="33"/>
      <c r="AK152" s="33"/>
      <c r="AM152" s="33"/>
      <c r="AN152" s="33"/>
      <c r="AO152" s="33"/>
      <c r="AP152" s="41"/>
      <c r="AQ152" s="41"/>
      <c r="AR152" s="41"/>
    </row>
    <row r="153" spans="2:44" s="37" customFormat="1" hidden="1" x14ac:dyDescent="0.4">
      <c r="B153" s="33"/>
      <c r="C153" s="33"/>
      <c r="D153" s="33"/>
      <c r="E153" s="33"/>
      <c r="F153" s="33"/>
      <c r="G153" s="36"/>
      <c r="H153" s="40"/>
      <c r="I153" s="33"/>
      <c r="J153" s="36"/>
      <c r="K153" s="33"/>
      <c r="L153" s="33"/>
      <c r="M153" s="33"/>
      <c r="N153" s="33"/>
      <c r="Q153" s="33"/>
      <c r="R153" s="33"/>
      <c r="S153" s="33"/>
      <c r="T153" s="33"/>
      <c r="V153" s="33"/>
      <c r="X153" s="33"/>
      <c r="Y153" s="33"/>
      <c r="Z153" s="33"/>
      <c r="AA153" s="33"/>
      <c r="AC153" s="33"/>
      <c r="AE153" s="33"/>
      <c r="AG153" s="33"/>
      <c r="AI153" s="33"/>
      <c r="AK153" s="33"/>
      <c r="AM153" s="33"/>
      <c r="AN153" s="33"/>
      <c r="AO153" s="33"/>
      <c r="AP153" s="41"/>
      <c r="AQ153" s="41"/>
      <c r="AR153" s="41"/>
    </row>
    <row r="154" spans="2:44" s="37" customFormat="1" hidden="1" x14ac:dyDescent="0.4">
      <c r="B154" s="33"/>
      <c r="C154" s="33"/>
      <c r="D154" s="33"/>
      <c r="E154" s="33"/>
      <c r="F154" s="33"/>
      <c r="G154" s="36"/>
      <c r="H154" s="40"/>
      <c r="I154" s="33"/>
      <c r="J154" s="36"/>
      <c r="K154" s="33"/>
      <c r="L154" s="33"/>
      <c r="M154" s="33"/>
      <c r="N154" s="33"/>
      <c r="Q154" s="33"/>
      <c r="R154" s="33"/>
      <c r="S154" s="33"/>
      <c r="T154" s="33"/>
      <c r="V154" s="33"/>
      <c r="X154" s="33"/>
      <c r="Y154" s="33"/>
      <c r="Z154" s="33"/>
      <c r="AA154" s="33"/>
      <c r="AC154" s="33"/>
      <c r="AE154" s="33"/>
      <c r="AG154" s="33"/>
      <c r="AI154" s="33"/>
      <c r="AK154" s="33"/>
      <c r="AM154" s="33"/>
      <c r="AN154" s="33"/>
      <c r="AO154" s="33"/>
      <c r="AP154" s="41"/>
      <c r="AQ154" s="41"/>
      <c r="AR154" s="41"/>
    </row>
    <row r="155" spans="2:44" s="37" customFormat="1" hidden="1" x14ac:dyDescent="0.4">
      <c r="B155" s="33"/>
      <c r="C155" s="33"/>
      <c r="D155" s="33"/>
      <c r="E155" s="33"/>
      <c r="F155" s="33"/>
      <c r="G155" s="36"/>
      <c r="H155" s="40"/>
      <c r="I155" s="33"/>
      <c r="J155" s="36"/>
      <c r="K155" s="33"/>
      <c r="L155" s="33"/>
      <c r="M155" s="33"/>
      <c r="N155" s="33"/>
      <c r="Q155" s="33"/>
      <c r="R155" s="33"/>
      <c r="S155" s="33"/>
      <c r="T155" s="33"/>
      <c r="V155" s="33"/>
      <c r="X155" s="33"/>
      <c r="Y155" s="33"/>
      <c r="Z155" s="33"/>
      <c r="AA155" s="33"/>
      <c r="AC155" s="33"/>
      <c r="AE155" s="33"/>
      <c r="AG155" s="33"/>
      <c r="AI155" s="33"/>
      <c r="AK155" s="33"/>
      <c r="AM155" s="33"/>
      <c r="AN155" s="33"/>
      <c r="AO155" s="33"/>
      <c r="AP155" s="41"/>
      <c r="AQ155" s="41"/>
      <c r="AR155" s="41"/>
    </row>
    <row r="156" spans="2:44" s="37" customFormat="1" hidden="1" x14ac:dyDescent="0.4">
      <c r="B156" s="33"/>
      <c r="C156" s="33"/>
      <c r="D156" s="33"/>
      <c r="E156" s="33"/>
      <c r="F156" s="33"/>
      <c r="G156" s="36"/>
      <c r="H156" s="40"/>
      <c r="I156" s="33"/>
      <c r="J156" s="36"/>
      <c r="K156" s="33"/>
      <c r="L156" s="33"/>
      <c r="M156" s="33"/>
      <c r="N156" s="33"/>
      <c r="Q156" s="33"/>
      <c r="R156" s="33"/>
      <c r="S156" s="33"/>
      <c r="T156" s="33"/>
      <c r="V156" s="33"/>
      <c r="X156" s="33"/>
      <c r="Y156" s="33"/>
      <c r="Z156" s="33"/>
      <c r="AA156" s="33"/>
      <c r="AC156" s="33"/>
      <c r="AE156" s="33"/>
      <c r="AG156" s="33"/>
      <c r="AI156" s="33"/>
      <c r="AK156" s="33"/>
      <c r="AM156" s="33"/>
      <c r="AN156" s="33"/>
      <c r="AO156" s="33"/>
      <c r="AP156" s="41"/>
      <c r="AQ156" s="41"/>
      <c r="AR156" s="41"/>
    </row>
    <row r="157" spans="2:44" s="37" customFormat="1" hidden="1" x14ac:dyDescent="0.4">
      <c r="B157" s="33"/>
      <c r="C157" s="33"/>
      <c r="D157" s="33"/>
      <c r="E157" s="33"/>
      <c r="F157" s="33"/>
      <c r="G157" s="36"/>
      <c r="H157" s="40"/>
      <c r="I157" s="33"/>
      <c r="J157" s="36"/>
      <c r="K157" s="33"/>
      <c r="L157" s="33"/>
      <c r="M157" s="33"/>
      <c r="N157" s="33"/>
      <c r="Q157" s="33"/>
      <c r="R157" s="33"/>
      <c r="S157" s="33"/>
      <c r="T157" s="33"/>
      <c r="V157" s="33"/>
      <c r="X157" s="33"/>
      <c r="Y157" s="33"/>
      <c r="Z157" s="33"/>
      <c r="AA157" s="33"/>
      <c r="AC157" s="33"/>
      <c r="AE157" s="33"/>
      <c r="AG157" s="33"/>
      <c r="AI157" s="33"/>
      <c r="AK157" s="33"/>
      <c r="AM157" s="33"/>
      <c r="AN157" s="33"/>
      <c r="AO157" s="33"/>
      <c r="AP157" s="41"/>
      <c r="AQ157" s="41"/>
      <c r="AR157" s="41"/>
    </row>
    <row r="158" spans="2:44" s="37" customFormat="1" hidden="1" x14ac:dyDescent="0.4">
      <c r="B158" s="33"/>
      <c r="C158" s="33"/>
      <c r="D158" s="33"/>
      <c r="E158" s="33"/>
      <c r="F158" s="33"/>
      <c r="G158" s="36"/>
      <c r="H158" s="40"/>
      <c r="I158" s="33"/>
      <c r="J158" s="36"/>
      <c r="K158" s="33"/>
      <c r="L158" s="33"/>
      <c r="M158" s="33"/>
      <c r="N158" s="33"/>
      <c r="Q158" s="33"/>
      <c r="R158" s="33"/>
      <c r="S158" s="33"/>
      <c r="T158" s="33"/>
      <c r="V158" s="33"/>
      <c r="X158" s="33"/>
      <c r="Y158" s="33"/>
      <c r="Z158" s="33"/>
      <c r="AA158" s="33"/>
      <c r="AC158" s="33"/>
      <c r="AE158" s="33"/>
      <c r="AG158" s="33"/>
      <c r="AI158" s="33"/>
      <c r="AK158" s="33"/>
      <c r="AM158" s="33"/>
      <c r="AN158" s="33"/>
      <c r="AO158" s="33"/>
      <c r="AP158" s="41"/>
      <c r="AQ158" s="41"/>
      <c r="AR158" s="41"/>
    </row>
    <row r="159" spans="2:44" s="37" customFormat="1" hidden="1" x14ac:dyDescent="0.4">
      <c r="B159" s="33"/>
      <c r="C159" s="33"/>
      <c r="D159" s="33"/>
      <c r="E159" s="33"/>
      <c r="F159" s="33"/>
      <c r="G159" s="36"/>
      <c r="H159" s="40"/>
      <c r="I159" s="33"/>
      <c r="J159" s="36"/>
      <c r="K159" s="33"/>
      <c r="L159" s="33"/>
      <c r="M159" s="33"/>
      <c r="N159" s="33"/>
      <c r="Q159" s="33"/>
      <c r="R159" s="33"/>
      <c r="S159" s="33"/>
      <c r="T159" s="33"/>
      <c r="V159" s="33"/>
      <c r="X159" s="33"/>
      <c r="Y159" s="33"/>
      <c r="Z159" s="33"/>
      <c r="AA159" s="33"/>
      <c r="AC159" s="33"/>
      <c r="AE159" s="33"/>
      <c r="AG159" s="33"/>
      <c r="AI159" s="33"/>
      <c r="AK159" s="33"/>
      <c r="AM159" s="33"/>
      <c r="AN159" s="33"/>
      <c r="AO159" s="33"/>
      <c r="AP159" s="41"/>
      <c r="AQ159" s="41"/>
      <c r="AR159" s="41"/>
    </row>
    <row r="160" spans="2:44" s="37" customFormat="1" hidden="1" x14ac:dyDescent="0.4">
      <c r="B160" s="33"/>
      <c r="C160" s="33"/>
      <c r="D160" s="33"/>
      <c r="E160" s="33"/>
      <c r="F160" s="33"/>
      <c r="G160" s="36"/>
      <c r="H160" s="40"/>
      <c r="I160" s="33"/>
      <c r="J160" s="36"/>
      <c r="K160" s="33"/>
      <c r="L160" s="33"/>
      <c r="M160" s="33"/>
      <c r="N160" s="33"/>
      <c r="Q160" s="33"/>
      <c r="R160" s="33"/>
      <c r="S160" s="33"/>
      <c r="T160" s="33"/>
      <c r="V160" s="33"/>
      <c r="X160" s="33"/>
      <c r="Y160" s="33"/>
      <c r="Z160" s="33"/>
      <c r="AA160" s="33"/>
      <c r="AC160" s="33"/>
      <c r="AE160" s="33"/>
      <c r="AG160" s="33"/>
      <c r="AI160" s="33"/>
      <c r="AK160" s="33"/>
      <c r="AM160" s="33"/>
      <c r="AN160" s="33"/>
      <c r="AO160" s="33"/>
      <c r="AP160" s="41"/>
      <c r="AQ160" s="41"/>
      <c r="AR160" s="41"/>
    </row>
    <row r="161" spans="2:44" s="37" customFormat="1" hidden="1" x14ac:dyDescent="0.4">
      <c r="B161" s="33"/>
      <c r="C161" s="33"/>
      <c r="D161" s="33"/>
      <c r="E161" s="33"/>
      <c r="F161" s="33"/>
      <c r="G161" s="36"/>
      <c r="H161" s="40"/>
      <c r="I161" s="33"/>
      <c r="J161" s="36"/>
      <c r="K161" s="33"/>
      <c r="L161" s="33"/>
      <c r="M161" s="33"/>
      <c r="N161" s="33"/>
      <c r="Q161" s="33"/>
      <c r="R161" s="33"/>
      <c r="S161" s="33"/>
      <c r="T161" s="33"/>
      <c r="V161" s="33"/>
      <c r="X161" s="33"/>
      <c r="Y161" s="33"/>
      <c r="Z161" s="33"/>
      <c r="AA161" s="33"/>
      <c r="AC161" s="33"/>
      <c r="AE161" s="33"/>
      <c r="AG161" s="33"/>
      <c r="AI161" s="33"/>
      <c r="AK161" s="33"/>
      <c r="AM161" s="33"/>
      <c r="AN161" s="33"/>
      <c r="AO161" s="33"/>
      <c r="AP161" s="41"/>
      <c r="AQ161" s="41"/>
      <c r="AR161" s="41"/>
    </row>
    <row r="162" spans="2:44" s="37" customFormat="1" hidden="1" x14ac:dyDescent="0.4">
      <c r="B162" s="33"/>
      <c r="C162" s="33"/>
      <c r="D162" s="33"/>
      <c r="E162" s="33"/>
      <c r="F162" s="33"/>
      <c r="G162" s="36"/>
      <c r="H162" s="40"/>
      <c r="I162" s="33"/>
      <c r="J162" s="36"/>
      <c r="K162" s="33"/>
      <c r="L162" s="33"/>
      <c r="M162" s="33"/>
      <c r="N162" s="33"/>
      <c r="Q162" s="33"/>
      <c r="R162" s="33"/>
      <c r="S162" s="33"/>
      <c r="T162" s="33"/>
      <c r="V162" s="33"/>
      <c r="X162" s="33"/>
      <c r="Y162" s="33"/>
      <c r="Z162" s="33"/>
      <c r="AA162" s="33"/>
      <c r="AC162" s="33"/>
      <c r="AE162" s="33"/>
      <c r="AG162" s="33"/>
      <c r="AI162" s="33"/>
      <c r="AK162" s="33"/>
      <c r="AM162" s="33"/>
      <c r="AN162" s="33"/>
      <c r="AO162" s="33"/>
      <c r="AP162" s="41"/>
      <c r="AQ162" s="41"/>
      <c r="AR162" s="41"/>
    </row>
    <row r="163" spans="2:44" s="37" customFormat="1" hidden="1" x14ac:dyDescent="0.4">
      <c r="B163" s="33"/>
      <c r="C163" s="33"/>
      <c r="D163" s="33"/>
      <c r="E163" s="33"/>
      <c r="F163" s="33"/>
      <c r="G163" s="36"/>
      <c r="H163" s="40"/>
      <c r="I163" s="33"/>
      <c r="J163" s="36"/>
      <c r="K163" s="33"/>
      <c r="L163" s="33"/>
      <c r="M163" s="33"/>
      <c r="N163" s="33"/>
      <c r="Q163" s="33"/>
      <c r="R163" s="33"/>
      <c r="S163" s="33"/>
      <c r="T163" s="33"/>
      <c r="V163" s="33"/>
      <c r="X163" s="33"/>
      <c r="Y163" s="33"/>
      <c r="Z163" s="33"/>
      <c r="AA163" s="33"/>
      <c r="AC163" s="33"/>
      <c r="AE163" s="33"/>
      <c r="AG163" s="33"/>
      <c r="AI163" s="33"/>
      <c r="AK163" s="33"/>
      <c r="AM163" s="33"/>
      <c r="AN163" s="33"/>
      <c r="AO163" s="33"/>
      <c r="AP163" s="41"/>
      <c r="AQ163" s="41"/>
      <c r="AR163" s="41"/>
    </row>
    <row r="164" spans="2:44" s="37" customFormat="1" hidden="1" x14ac:dyDescent="0.4">
      <c r="B164" s="33"/>
      <c r="C164" s="33"/>
      <c r="D164" s="33"/>
      <c r="E164" s="33"/>
      <c r="F164" s="33"/>
      <c r="G164" s="36"/>
      <c r="H164" s="40"/>
      <c r="I164" s="33"/>
      <c r="J164" s="36"/>
      <c r="K164" s="33"/>
      <c r="L164" s="33"/>
      <c r="M164" s="33"/>
      <c r="N164" s="33"/>
      <c r="Q164" s="33"/>
      <c r="R164" s="33"/>
      <c r="S164" s="33"/>
      <c r="T164" s="33"/>
      <c r="V164" s="33"/>
      <c r="X164" s="33"/>
      <c r="Y164" s="33"/>
      <c r="Z164" s="33"/>
      <c r="AA164" s="33"/>
      <c r="AC164" s="33"/>
      <c r="AE164" s="33"/>
      <c r="AG164" s="33"/>
      <c r="AI164" s="33"/>
      <c r="AK164" s="33"/>
      <c r="AM164" s="33"/>
      <c r="AN164" s="33"/>
      <c r="AO164" s="33"/>
      <c r="AP164" s="41"/>
      <c r="AQ164" s="41"/>
      <c r="AR164" s="41"/>
    </row>
    <row r="165" spans="2:44" s="37" customFormat="1" hidden="1" x14ac:dyDescent="0.4">
      <c r="B165" s="33"/>
      <c r="C165" s="33"/>
      <c r="D165" s="33"/>
      <c r="E165" s="33"/>
      <c r="F165" s="33"/>
      <c r="G165" s="36"/>
      <c r="H165" s="40"/>
      <c r="I165" s="33"/>
      <c r="J165" s="36"/>
      <c r="K165" s="33"/>
      <c r="L165" s="33"/>
      <c r="M165" s="33"/>
      <c r="N165" s="33"/>
      <c r="Q165" s="33"/>
      <c r="R165" s="33"/>
      <c r="S165" s="33"/>
      <c r="T165" s="33"/>
      <c r="V165" s="33"/>
      <c r="X165" s="33"/>
      <c r="Y165" s="33"/>
      <c r="Z165" s="33"/>
      <c r="AA165" s="33"/>
      <c r="AC165" s="33"/>
      <c r="AE165" s="33"/>
      <c r="AG165" s="33"/>
      <c r="AI165" s="33"/>
      <c r="AK165" s="33"/>
      <c r="AM165" s="33"/>
      <c r="AN165" s="33"/>
      <c r="AO165" s="33"/>
      <c r="AP165" s="41"/>
      <c r="AQ165" s="41"/>
      <c r="AR165" s="41"/>
    </row>
    <row r="166" spans="2:44" s="37" customFormat="1" hidden="1" x14ac:dyDescent="0.4">
      <c r="B166" s="33"/>
      <c r="C166" s="33"/>
      <c r="D166" s="33"/>
      <c r="E166" s="33"/>
      <c r="F166" s="33"/>
      <c r="G166" s="36"/>
      <c r="H166" s="40"/>
      <c r="I166" s="33"/>
      <c r="J166" s="36"/>
      <c r="K166" s="33"/>
      <c r="L166" s="33"/>
      <c r="M166" s="33"/>
      <c r="N166" s="33"/>
      <c r="Q166" s="33"/>
      <c r="R166" s="33"/>
      <c r="S166" s="33"/>
      <c r="T166" s="33"/>
      <c r="V166" s="33"/>
      <c r="X166" s="33"/>
      <c r="Y166" s="33"/>
      <c r="Z166" s="33"/>
      <c r="AA166" s="33"/>
      <c r="AC166" s="33"/>
      <c r="AE166" s="33"/>
      <c r="AG166" s="33"/>
      <c r="AI166" s="33"/>
      <c r="AK166" s="33"/>
      <c r="AM166" s="33"/>
      <c r="AN166" s="33"/>
      <c r="AO166" s="33"/>
      <c r="AP166" s="41"/>
      <c r="AQ166" s="41"/>
      <c r="AR166" s="41"/>
    </row>
    <row r="167" spans="2:44" s="37" customFormat="1" hidden="1" x14ac:dyDescent="0.4">
      <c r="B167" s="33"/>
      <c r="C167" s="33"/>
      <c r="D167" s="33"/>
      <c r="E167" s="33"/>
      <c r="F167" s="33"/>
      <c r="G167" s="36"/>
      <c r="H167" s="40"/>
      <c r="I167" s="33"/>
      <c r="J167" s="36"/>
      <c r="K167" s="33"/>
      <c r="L167" s="33"/>
      <c r="M167" s="33"/>
      <c r="N167" s="33"/>
      <c r="Q167" s="33"/>
      <c r="R167" s="33"/>
      <c r="S167" s="33"/>
      <c r="T167" s="33"/>
      <c r="V167" s="33"/>
      <c r="X167" s="33"/>
      <c r="Y167" s="33"/>
      <c r="Z167" s="33"/>
      <c r="AA167" s="33"/>
      <c r="AC167" s="33"/>
      <c r="AE167" s="33"/>
      <c r="AG167" s="33"/>
      <c r="AI167" s="33"/>
      <c r="AK167" s="33"/>
      <c r="AM167" s="33"/>
      <c r="AN167" s="33"/>
      <c r="AO167" s="33"/>
      <c r="AP167" s="41"/>
      <c r="AQ167" s="41"/>
      <c r="AR167" s="41"/>
    </row>
    <row r="168" spans="2:44" s="37" customFormat="1" hidden="1" x14ac:dyDescent="0.4">
      <c r="B168" s="33"/>
      <c r="C168" s="33"/>
      <c r="D168" s="33"/>
      <c r="E168" s="33"/>
      <c r="F168" s="33"/>
      <c r="G168" s="36"/>
      <c r="H168" s="40"/>
      <c r="I168" s="33"/>
      <c r="J168" s="36"/>
      <c r="K168" s="33"/>
      <c r="L168" s="33"/>
      <c r="M168" s="33"/>
      <c r="N168" s="33"/>
      <c r="Q168" s="33"/>
      <c r="R168" s="33"/>
      <c r="S168" s="33"/>
      <c r="T168" s="33"/>
      <c r="V168" s="33"/>
      <c r="X168" s="33"/>
      <c r="Y168" s="33"/>
      <c r="Z168" s="33"/>
      <c r="AA168" s="33"/>
      <c r="AC168" s="33"/>
      <c r="AE168" s="33"/>
      <c r="AG168" s="33"/>
      <c r="AI168" s="33"/>
      <c r="AK168" s="33"/>
      <c r="AM168" s="33"/>
      <c r="AN168" s="33"/>
      <c r="AO168" s="33"/>
      <c r="AP168" s="41"/>
      <c r="AQ168" s="41"/>
      <c r="AR168" s="41"/>
    </row>
    <row r="169" spans="2:44" s="37" customFormat="1" hidden="1" x14ac:dyDescent="0.4">
      <c r="B169" s="33"/>
      <c r="C169" s="33"/>
      <c r="D169" s="33"/>
      <c r="E169" s="33"/>
      <c r="F169" s="33"/>
      <c r="G169" s="36"/>
      <c r="H169" s="40"/>
      <c r="I169" s="33"/>
      <c r="J169" s="36"/>
      <c r="K169" s="33"/>
      <c r="L169" s="33"/>
      <c r="M169" s="33"/>
      <c r="N169" s="33"/>
      <c r="Q169" s="33"/>
      <c r="R169" s="33"/>
      <c r="S169" s="33"/>
      <c r="T169" s="33"/>
      <c r="V169" s="33"/>
      <c r="X169" s="33"/>
      <c r="Y169" s="33"/>
      <c r="Z169" s="33"/>
      <c r="AA169" s="33"/>
      <c r="AC169" s="33"/>
      <c r="AE169" s="33"/>
      <c r="AG169" s="33"/>
      <c r="AI169" s="33"/>
      <c r="AK169" s="33"/>
      <c r="AM169" s="33"/>
      <c r="AN169" s="33"/>
      <c r="AO169" s="33"/>
      <c r="AP169" s="41"/>
      <c r="AQ169" s="41"/>
      <c r="AR169" s="41"/>
    </row>
    <row r="170" spans="2:44" s="37" customFormat="1" hidden="1" x14ac:dyDescent="0.4">
      <c r="B170" s="33"/>
      <c r="C170" s="33"/>
      <c r="D170" s="33"/>
      <c r="E170" s="33"/>
      <c r="F170" s="33"/>
      <c r="G170" s="36"/>
      <c r="H170" s="40"/>
      <c r="I170" s="33"/>
      <c r="J170" s="36"/>
      <c r="K170" s="33"/>
      <c r="L170" s="33"/>
      <c r="M170" s="33"/>
      <c r="N170" s="33"/>
      <c r="Q170" s="33"/>
      <c r="R170" s="33"/>
      <c r="S170" s="33"/>
      <c r="T170" s="33"/>
      <c r="V170" s="33"/>
      <c r="X170" s="33"/>
      <c r="Y170" s="33"/>
      <c r="Z170" s="33"/>
      <c r="AA170" s="33"/>
      <c r="AC170" s="33"/>
      <c r="AE170" s="33"/>
      <c r="AG170" s="33"/>
      <c r="AI170" s="33"/>
      <c r="AK170" s="33"/>
      <c r="AM170" s="33"/>
      <c r="AN170" s="33"/>
      <c r="AO170" s="33"/>
      <c r="AP170" s="41"/>
      <c r="AQ170" s="41"/>
      <c r="AR170" s="41"/>
    </row>
    <row r="171" spans="2:44" s="37" customFormat="1" hidden="1" x14ac:dyDescent="0.4">
      <c r="B171" s="33"/>
      <c r="C171" s="33"/>
      <c r="D171" s="33"/>
      <c r="E171" s="33"/>
      <c r="F171" s="33"/>
      <c r="G171" s="36"/>
      <c r="H171" s="40"/>
      <c r="I171" s="33"/>
      <c r="J171" s="36"/>
      <c r="K171" s="33"/>
      <c r="L171" s="33"/>
      <c r="M171" s="33"/>
      <c r="N171" s="33"/>
      <c r="Q171" s="33"/>
      <c r="R171" s="33"/>
      <c r="S171" s="33"/>
      <c r="T171" s="33"/>
      <c r="V171" s="33"/>
      <c r="X171" s="33"/>
      <c r="Y171" s="33"/>
      <c r="Z171" s="33"/>
      <c r="AA171" s="33"/>
      <c r="AC171" s="33"/>
      <c r="AE171" s="33"/>
      <c r="AG171" s="33"/>
      <c r="AI171" s="33"/>
      <c r="AK171" s="33"/>
      <c r="AM171" s="33"/>
      <c r="AN171" s="33"/>
      <c r="AO171" s="33"/>
      <c r="AP171" s="41"/>
      <c r="AQ171" s="41"/>
      <c r="AR171" s="41"/>
    </row>
    <row r="172" spans="2:44" s="37" customFormat="1" hidden="1" x14ac:dyDescent="0.4">
      <c r="B172" s="33"/>
      <c r="C172" s="33"/>
      <c r="D172" s="33"/>
      <c r="E172" s="33"/>
      <c r="F172" s="33"/>
      <c r="G172" s="36"/>
      <c r="H172" s="40"/>
      <c r="I172" s="33"/>
      <c r="J172" s="36"/>
      <c r="K172" s="33"/>
      <c r="L172" s="33"/>
      <c r="M172" s="33"/>
      <c r="N172" s="33"/>
      <c r="Q172" s="33"/>
      <c r="R172" s="33"/>
      <c r="S172" s="33"/>
      <c r="T172" s="33"/>
      <c r="V172" s="33"/>
      <c r="X172" s="33"/>
      <c r="Y172" s="33"/>
      <c r="Z172" s="33"/>
      <c r="AA172" s="33"/>
      <c r="AC172" s="33"/>
      <c r="AE172" s="33"/>
      <c r="AG172" s="33"/>
      <c r="AI172" s="33"/>
      <c r="AK172" s="33"/>
      <c r="AM172" s="33"/>
      <c r="AN172" s="33"/>
      <c r="AO172" s="33"/>
      <c r="AP172" s="41"/>
      <c r="AQ172" s="41"/>
      <c r="AR172" s="41"/>
    </row>
    <row r="173" spans="2:44" s="37" customFormat="1" hidden="1" x14ac:dyDescent="0.4">
      <c r="B173" s="33"/>
      <c r="C173" s="33"/>
      <c r="D173" s="33"/>
      <c r="E173" s="33"/>
      <c r="F173" s="33"/>
      <c r="G173" s="36"/>
      <c r="H173" s="40"/>
      <c r="I173" s="33"/>
      <c r="J173" s="36"/>
      <c r="K173" s="33"/>
      <c r="L173" s="33"/>
      <c r="M173" s="33"/>
      <c r="N173" s="33"/>
      <c r="Q173" s="33"/>
      <c r="R173" s="33"/>
      <c r="S173" s="33"/>
      <c r="T173" s="33"/>
      <c r="V173" s="33"/>
      <c r="X173" s="33"/>
      <c r="Y173" s="33"/>
      <c r="Z173" s="33"/>
      <c r="AA173" s="33"/>
      <c r="AC173" s="33"/>
      <c r="AE173" s="33"/>
      <c r="AG173" s="33"/>
      <c r="AI173" s="33"/>
      <c r="AK173" s="33"/>
      <c r="AM173" s="33"/>
      <c r="AN173" s="33"/>
      <c r="AO173" s="33"/>
      <c r="AP173" s="41"/>
      <c r="AQ173" s="41"/>
      <c r="AR173" s="41"/>
    </row>
    <row r="174" spans="2:44" s="37" customFormat="1" hidden="1" x14ac:dyDescent="0.4">
      <c r="B174" s="33"/>
      <c r="C174" s="33"/>
      <c r="D174" s="33"/>
      <c r="E174" s="33"/>
      <c r="F174" s="33"/>
      <c r="G174" s="36"/>
      <c r="H174" s="40"/>
      <c r="I174" s="33"/>
      <c r="J174" s="36"/>
      <c r="K174" s="33"/>
      <c r="L174" s="33"/>
      <c r="M174" s="33"/>
      <c r="N174" s="33"/>
      <c r="Q174" s="33"/>
      <c r="R174" s="33"/>
      <c r="S174" s="33"/>
      <c r="T174" s="33"/>
      <c r="V174" s="33"/>
      <c r="X174" s="33"/>
      <c r="Y174" s="33"/>
      <c r="Z174" s="33"/>
      <c r="AA174" s="33"/>
      <c r="AC174" s="33"/>
      <c r="AE174" s="33"/>
      <c r="AG174" s="33"/>
      <c r="AI174" s="33"/>
      <c r="AK174" s="33"/>
      <c r="AM174" s="33"/>
      <c r="AN174" s="33"/>
      <c r="AO174" s="33"/>
      <c r="AP174" s="41"/>
      <c r="AQ174" s="41"/>
      <c r="AR174" s="41"/>
    </row>
    <row r="175" spans="2:44" s="37" customFormat="1" hidden="1" x14ac:dyDescent="0.4">
      <c r="B175" s="33"/>
      <c r="C175" s="33"/>
      <c r="D175" s="33"/>
      <c r="E175" s="33"/>
      <c r="F175" s="33"/>
      <c r="G175" s="36"/>
      <c r="H175" s="40"/>
      <c r="I175" s="33"/>
      <c r="J175" s="36"/>
      <c r="K175" s="33"/>
      <c r="L175" s="33"/>
      <c r="M175" s="33"/>
      <c r="N175" s="33"/>
      <c r="Q175" s="33"/>
      <c r="R175" s="33"/>
      <c r="S175" s="33"/>
      <c r="T175" s="33"/>
      <c r="V175" s="33"/>
      <c r="X175" s="33"/>
      <c r="Y175" s="33"/>
      <c r="Z175" s="33"/>
      <c r="AA175" s="33"/>
      <c r="AC175" s="33"/>
      <c r="AE175" s="33"/>
      <c r="AG175" s="33"/>
      <c r="AI175" s="33"/>
      <c r="AK175" s="33"/>
      <c r="AM175" s="33"/>
      <c r="AN175" s="33"/>
      <c r="AO175" s="33"/>
      <c r="AP175" s="41"/>
      <c r="AQ175" s="41"/>
      <c r="AR175" s="41"/>
    </row>
    <row r="176" spans="2:44" s="37" customFormat="1" hidden="1" x14ac:dyDescent="0.4">
      <c r="B176" s="33"/>
      <c r="C176" s="33"/>
      <c r="D176" s="33"/>
      <c r="E176" s="33"/>
      <c r="F176" s="33"/>
      <c r="G176" s="36"/>
      <c r="H176" s="40"/>
      <c r="I176" s="33"/>
      <c r="J176" s="36"/>
      <c r="K176" s="33"/>
      <c r="L176" s="33"/>
      <c r="M176" s="33"/>
      <c r="N176" s="33"/>
      <c r="Q176" s="33"/>
      <c r="R176" s="33"/>
      <c r="S176" s="33"/>
      <c r="T176" s="33"/>
      <c r="V176" s="33"/>
      <c r="X176" s="33"/>
      <c r="Y176" s="33"/>
      <c r="Z176" s="33"/>
      <c r="AA176" s="33"/>
      <c r="AC176" s="33"/>
      <c r="AE176" s="33"/>
      <c r="AG176" s="33"/>
      <c r="AI176" s="33"/>
      <c r="AK176" s="33"/>
      <c r="AM176" s="33"/>
      <c r="AN176" s="33"/>
      <c r="AO176" s="33"/>
      <c r="AP176" s="41"/>
      <c r="AQ176" s="41"/>
      <c r="AR176" s="41"/>
    </row>
    <row r="177" spans="2:44" s="37" customFormat="1" hidden="1" x14ac:dyDescent="0.4">
      <c r="B177" s="33"/>
      <c r="C177" s="33"/>
      <c r="D177" s="33"/>
      <c r="E177" s="33"/>
      <c r="F177" s="33"/>
      <c r="G177" s="36"/>
      <c r="H177" s="40"/>
      <c r="I177" s="33"/>
      <c r="J177" s="36"/>
      <c r="K177" s="33"/>
      <c r="L177" s="33"/>
      <c r="M177" s="33"/>
      <c r="N177" s="33"/>
      <c r="Q177" s="33"/>
      <c r="R177" s="33"/>
      <c r="S177" s="33"/>
      <c r="T177" s="33"/>
      <c r="V177" s="33"/>
      <c r="X177" s="33"/>
      <c r="Y177" s="33"/>
      <c r="Z177" s="33"/>
      <c r="AA177" s="33"/>
      <c r="AC177" s="33"/>
      <c r="AE177" s="33"/>
      <c r="AG177" s="33"/>
      <c r="AI177" s="33"/>
      <c r="AK177" s="33"/>
      <c r="AM177" s="33"/>
      <c r="AN177" s="33"/>
      <c r="AO177" s="33"/>
      <c r="AP177" s="41"/>
      <c r="AQ177" s="41"/>
      <c r="AR177" s="41"/>
    </row>
    <row r="178" spans="2:44" s="37" customFormat="1" hidden="1" x14ac:dyDescent="0.4">
      <c r="B178" s="33"/>
      <c r="C178" s="33"/>
      <c r="D178" s="33"/>
      <c r="E178" s="33"/>
      <c r="F178" s="33"/>
      <c r="G178" s="36"/>
      <c r="H178" s="40"/>
      <c r="I178" s="33"/>
      <c r="J178" s="36"/>
      <c r="K178" s="33"/>
      <c r="L178" s="33"/>
      <c r="M178" s="33"/>
      <c r="N178" s="33"/>
      <c r="Q178" s="33"/>
      <c r="R178" s="33"/>
      <c r="S178" s="33"/>
      <c r="T178" s="33"/>
      <c r="V178" s="33"/>
      <c r="X178" s="33"/>
      <c r="Y178" s="33"/>
      <c r="Z178" s="33"/>
      <c r="AA178" s="33"/>
      <c r="AC178" s="33"/>
      <c r="AE178" s="33"/>
      <c r="AG178" s="33"/>
      <c r="AI178" s="33"/>
      <c r="AK178" s="33"/>
      <c r="AM178" s="33"/>
      <c r="AN178" s="33"/>
      <c r="AO178" s="33"/>
      <c r="AP178" s="41"/>
      <c r="AQ178" s="41"/>
      <c r="AR178" s="41"/>
    </row>
    <row r="179" spans="2:44" s="37" customFormat="1" hidden="1" x14ac:dyDescent="0.4">
      <c r="B179" s="33"/>
      <c r="C179" s="33"/>
      <c r="D179" s="33"/>
      <c r="E179" s="33"/>
      <c r="F179" s="33"/>
      <c r="G179" s="36"/>
      <c r="H179" s="40"/>
      <c r="I179" s="33"/>
      <c r="J179" s="36"/>
      <c r="K179" s="33"/>
      <c r="L179" s="33"/>
      <c r="M179" s="33"/>
      <c r="N179" s="33"/>
      <c r="Q179" s="33"/>
      <c r="R179" s="33"/>
      <c r="S179" s="33"/>
      <c r="T179" s="33"/>
      <c r="V179" s="33"/>
      <c r="X179" s="33"/>
      <c r="Y179" s="33"/>
      <c r="Z179" s="33"/>
      <c r="AA179" s="33"/>
      <c r="AC179" s="33"/>
      <c r="AE179" s="33"/>
      <c r="AG179" s="33"/>
      <c r="AI179" s="33"/>
      <c r="AK179" s="33"/>
      <c r="AM179" s="33"/>
      <c r="AN179" s="33"/>
      <c r="AO179" s="33"/>
      <c r="AP179" s="41"/>
      <c r="AQ179" s="41"/>
      <c r="AR179" s="41"/>
    </row>
    <row r="180" spans="2:44" s="37" customFormat="1" hidden="1" x14ac:dyDescent="0.4">
      <c r="B180" s="33"/>
      <c r="C180" s="33"/>
      <c r="D180" s="33"/>
      <c r="E180" s="33"/>
      <c r="F180" s="33"/>
      <c r="G180" s="36"/>
      <c r="H180" s="40"/>
      <c r="I180" s="33"/>
      <c r="J180" s="36"/>
      <c r="K180" s="33"/>
      <c r="L180" s="33"/>
      <c r="M180" s="33"/>
      <c r="N180" s="33"/>
      <c r="Q180" s="33"/>
      <c r="R180" s="33"/>
      <c r="S180" s="33"/>
      <c r="T180" s="33"/>
      <c r="V180" s="33"/>
      <c r="X180" s="33"/>
      <c r="Y180" s="33"/>
      <c r="Z180" s="33"/>
      <c r="AA180" s="33"/>
      <c r="AC180" s="33"/>
      <c r="AE180" s="33"/>
      <c r="AG180" s="33"/>
      <c r="AI180" s="33"/>
      <c r="AK180" s="33"/>
      <c r="AM180" s="33"/>
      <c r="AN180" s="33"/>
      <c r="AO180" s="33"/>
      <c r="AP180" s="41"/>
      <c r="AQ180" s="41"/>
      <c r="AR180" s="41"/>
    </row>
    <row r="181" spans="2:44" s="37" customFormat="1" hidden="1" x14ac:dyDescent="0.4">
      <c r="B181" s="33"/>
      <c r="C181" s="33"/>
      <c r="D181" s="33"/>
      <c r="E181" s="33"/>
      <c r="F181" s="33"/>
      <c r="G181" s="36"/>
      <c r="H181" s="40"/>
      <c r="I181" s="33"/>
      <c r="J181" s="36"/>
      <c r="K181" s="33"/>
      <c r="L181" s="33"/>
      <c r="M181" s="33"/>
      <c r="N181" s="33"/>
      <c r="Q181" s="33"/>
      <c r="R181" s="33"/>
      <c r="S181" s="33"/>
      <c r="T181" s="33"/>
      <c r="V181" s="33"/>
      <c r="X181" s="33"/>
      <c r="Y181" s="33"/>
      <c r="Z181" s="33"/>
      <c r="AA181" s="33"/>
      <c r="AC181" s="33"/>
      <c r="AE181" s="33"/>
      <c r="AG181" s="33"/>
      <c r="AI181" s="33"/>
      <c r="AK181" s="33"/>
      <c r="AM181" s="33"/>
      <c r="AN181" s="33"/>
      <c r="AO181" s="33"/>
      <c r="AP181" s="41"/>
      <c r="AQ181" s="41"/>
      <c r="AR181" s="41"/>
    </row>
    <row r="182" spans="2:44" s="37" customFormat="1" hidden="1" x14ac:dyDescent="0.4">
      <c r="B182" s="33"/>
      <c r="C182" s="33"/>
      <c r="D182" s="33"/>
      <c r="E182" s="33"/>
      <c r="F182" s="33"/>
      <c r="G182" s="36"/>
      <c r="H182" s="40"/>
      <c r="I182" s="33"/>
      <c r="J182" s="36"/>
      <c r="K182" s="33"/>
      <c r="L182" s="33"/>
      <c r="M182" s="33"/>
      <c r="N182" s="33"/>
      <c r="Q182" s="33"/>
      <c r="R182" s="33"/>
      <c r="S182" s="33"/>
      <c r="T182" s="33"/>
      <c r="V182" s="33"/>
      <c r="X182" s="33"/>
      <c r="Y182" s="33"/>
      <c r="Z182" s="33"/>
      <c r="AA182" s="33"/>
      <c r="AC182" s="33"/>
      <c r="AE182" s="33"/>
      <c r="AG182" s="33"/>
      <c r="AI182" s="33"/>
      <c r="AK182" s="33"/>
      <c r="AM182" s="33"/>
      <c r="AN182" s="33"/>
      <c r="AO182" s="33"/>
      <c r="AP182" s="41"/>
      <c r="AQ182" s="41"/>
      <c r="AR182" s="41"/>
    </row>
    <row r="183" spans="2:44" s="37" customFormat="1" hidden="1" x14ac:dyDescent="0.4">
      <c r="B183" s="33"/>
      <c r="C183" s="33"/>
      <c r="D183" s="33"/>
      <c r="E183" s="33"/>
      <c r="F183" s="33"/>
      <c r="G183" s="36"/>
      <c r="H183" s="40"/>
      <c r="I183" s="33"/>
      <c r="J183" s="36"/>
      <c r="K183" s="33"/>
      <c r="L183" s="33"/>
      <c r="M183" s="33"/>
      <c r="N183" s="33"/>
      <c r="Q183" s="33"/>
      <c r="R183" s="33"/>
      <c r="S183" s="33"/>
      <c r="T183" s="33"/>
      <c r="V183" s="33"/>
      <c r="X183" s="33"/>
      <c r="Y183" s="33"/>
      <c r="Z183" s="33"/>
      <c r="AA183" s="33"/>
      <c r="AC183" s="33"/>
      <c r="AE183" s="33"/>
      <c r="AG183" s="33"/>
      <c r="AI183" s="33"/>
      <c r="AK183" s="33"/>
      <c r="AM183" s="33"/>
      <c r="AN183" s="33"/>
      <c r="AO183" s="33"/>
      <c r="AP183" s="41"/>
      <c r="AQ183" s="41"/>
      <c r="AR183" s="41"/>
    </row>
    <row r="184" spans="2:44" s="3" customFormat="1" x14ac:dyDescent="0.4">
      <c r="B184" s="1" t="s">
        <v>95</v>
      </c>
      <c r="C184" s="1"/>
      <c r="D184" s="1"/>
      <c r="E184" s="1"/>
      <c r="F184" s="1">
        <f ca="1">SUBTOTAL(103,Мособлдума_одномандатный_13[УИК])</f>
        <v>25</v>
      </c>
      <c r="G184" s="1"/>
      <c r="H184" s="1"/>
      <c r="I184" s="1">
        <f>SUBTOTAL(109,Мособлдума_одномандатный_13[Число избирателей, внесенных в список на момент окончания голосования])</f>
        <v>40786</v>
      </c>
      <c r="J184" s="1"/>
      <c r="K184" s="1"/>
      <c r="L184" s="1"/>
      <c r="M184" s="1">
        <f>SUBTOTAL(109,Мособлдума_одномандатный_13[Число бюллетеней, выданных избирателям в помещении для голосования в день голосования])</f>
        <v>17482</v>
      </c>
      <c r="N184" s="1">
        <f>SUBTOTAL(109,Мособлдума_одномандатный_13[Число бюллетеней, выданных избирателям, проголосовавшим вне помещения для голосования в день голосо])</f>
        <v>1192</v>
      </c>
      <c r="O184" s="1"/>
      <c r="P184" s="1"/>
      <c r="Q184" s="1"/>
      <c r="R184" s="1"/>
      <c r="S184" s="1"/>
      <c r="T184" s="1">
        <f>SUBTOTAL(109,Мособлдума_одномандатный_13[Обнаружено])</f>
        <v>18639</v>
      </c>
      <c r="U184" s="1"/>
      <c r="V184" s="1"/>
      <c r="W184" s="1"/>
      <c r="X184" s="22">
        <f>SUBTOTAL(109,Мособлдума_одномандатный_13[Число действительных бюллетеней])</f>
        <v>17638</v>
      </c>
      <c r="Y184" s="1"/>
      <c r="Z184" s="1"/>
      <c r="AA184" s="1">
        <f>SUBTOTAL(109,Мособлдума_одномандатный_13[Вавилов Игорь Васильевич])</f>
        <v>3768</v>
      </c>
      <c r="AB184" s="1"/>
      <c r="AC184" s="1">
        <f>SUBTOTAL(109,Мособлдума_одномандатный_13[Дорогих Иван Михайлович])</f>
        <v>1323</v>
      </c>
      <c r="AD184" s="1"/>
      <c r="AE184" s="1">
        <f>SUBTOTAL(109,Мособлдума_одномандатный_13[Марушкин Олег Генадиевич])</f>
        <v>1818</v>
      </c>
      <c r="AF184" s="1"/>
      <c r="AG184" s="1">
        <f>SUBTOTAL(109,Мособлдума_одномандатный_13[Павлова Татьяна Михайловна])</f>
        <v>1325</v>
      </c>
      <c r="AH184" s="1"/>
      <c r="AI184" s="1">
        <f>SUBTOTAL(109,Мособлдума_одномандатный_13[Пархоменко Дмитрий Владимирович])</f>
        <v>1212</v>
      </c>
      <c r="AJ184" s="1"/>
      <c r="AK184" s="1">
        <f>SUBTOTAL(109,Мособлдума_одномандатный_13[Рожнов Олег Александрович])</f>
        <v>8192</v>
      </c>
      <c r="AL184" s="1"/>
      <c r="AM184" s="1"/>
      <c r="AN184">
        <f>SUBTOTAL(102,Мособлдума_одномандатный_13[КОИБ])</f>
        <v>17</v>
      </c>
      <c r="AO184" s="1">
        <f>SUBTOTAL(102,Мособлдума_одномандатный_13[Наблюдателей])</f>
        <v>4</v>
      </c>
      <c r="AP184" s="10">
        <f>SUBTOTAL(109,Мособлдума_одномандатный_13[Вброс])</f>
        <v>4975.8016085790887</v>
      </c>
      <c r="AQ184" s="10">
        <f>SUBTOTAL(109,Мособлдума_одномандатный_13[Перекладывание])</f>
        <v>7423.8960000000006</v>
      </c>
      <c r="AR184" s="10">
        <f>SUBTOTAL(109,Мособлдума_одномандатный_13[Оценка числа бюллетеней, сфальсифицированных в пользу ЕР])</f>
        <v>6199.8488042895442</v>
      </c>
    </row>
    <row r="185" spans="2:44" s="3" customFormat="1" x14ac:dyDescent="0.4">
      <c r="M185" s="3" t="s">
        <v>52</v>
      </c>
      <c r="N185" s="3">
        <f>100*(M184+N184)/I184</f>
        <v>45.785318491639288</v>
      </c>
      <c r="AA185" s="3">
        <f>100*AA184/$T184</f>
        <v>20.215676806695637</v>
      </c>
      <c r="AC185" s="3">
        <f>100*AC184/$T184</f>
        <v>7.0980202800579431</v>
      </c>
      <c r="AE185" s="3">
        <f>100*AE184/$T184</f>
        <v>9.7537421535490108</v>
      </c>
      <c r="AG185" s="3">
        <f>100*AG184/$T184</f>
        <v>7.1087504694457859</v>
      </c>
      <c r="AI185" s="3">
        <f>100*AI184/$T184</f>
        <v>6.5024947690326735</v>
      </c>
      <c r="AK185" s="3">
        <f>100*AK184/$T184</f>
        <v>43.950855732603678</v>
      </c>
      <c r="AN185"/>
      <c r="AP185" s="3">
        <f>AP184*100/Мособлдума_одномандатный_13[[#Totals],[Рожнов Олег Александрович]]</f>
        <v>60.739765729725207</v>
      </c>
      <c r="AQ185" s="3">
        <f>AQ184*100/Мособлдума_одномандатный_13[[#Totals],[Рожнов Олег Александрович]]</f>
        <v>90.623730468750011</v>
      </c>
      <c r="AR185" s="3">
        <f>AR184*100/Мособлдума_одномандатный_13[[#Totals],[Рожнов Олег Александрович]]</f>
        <v>75.681748099237595</v>
      </c>
    </row>
    <row r="186" spans="2:44" s="3" customFormat="1" x14ac:dyDescent="0.4">
      <c r="AK186" s="23">
        <f>100*AK184/$X184</f>
        <v>46.445175189930829</v>
      </c>
      <c r="AN186" s="6"/>
    </row>
    <row r="187" spans="2:44" s="3" customFormat="1" x14ac:dyDescent="0.4">
      <c r="B187" s="1"/>
      <c r="C187" s="1"/>
      <c r="D187" s="1"/>
      <c r="E187" s="1"/>
      <c r="F187" s="1"/>
      <c r="G187" s="1"/>
      <c r="H187" s="1"/>
      <c r="I187" s="1"/>
      <c r="J187" s="1"/>
      <c r="K187" s="1"/>
      <c r="L187" s="1"/>
      <c r="M187" s="1"/>
      <c r="N187" s="1"/>
      <c r="Q187" s="1"/>
      <c r="R187" s="1"/>
      <c r="S187" s="1"/>
      <c r="T187" s="1"/>
      <c r="V187" s="1"/>
      <c r="X187" s="1"/>
      <c r="Y187" s="1"/>
      <c r="Z187" s="1"/>
      <c r="AA187" s="1"/>
      <c r="AC187" s="1"/>
      <c r="AE187" s="1"/>
      <c r="AG187" s="1"/>
      <c r="AI187" s="1"/>
      <c r="AK187" s="1"/>
      <c r="AM187" s="1"/>
      <c r="AN187" s="75"/>
      <c r="AO187" s="1"/>
      <c r="AP187" s="1"/>
      <c r="AQ187" s="1"/>
    </row>
    <row r="188" spans="2:44" s="3" customFormat="1" x14ac:dyDescent="0.4">
      <c r="B188" s="1"/>
      <c r="C188" s="1"/>
      <c r="D188" s="1"/>
      <c r="E188" s="1"/>
      <c r="F188" s="1"/>
      <c r="G188" s="1"/>
      <c r="H188" s="1"/>
      <c r="I188" s="1"/>
      <c r="J188" s="1"/>
      <c r="K188" s="1"/>
      <c r="L188" s="1"/>
      <c r="M188" s="1"/>
      <c r="N188" s="1"/>
      <c r="Q188" s="1"/>
      <c r="R188" s="1"/>
      <c r="S188" s="1"/>
      <c r="T188" s="1"/>
      <c r="V188" s="1"/>
      <c r="X188" s="1"/>
      <c r="Y188" s="1"/>
      <c r="Z188" s="1"/>
      <c r="AA188" s="1"/>
      <c r="AC188" s="1"/>
      <c r="AE188" s="1"/>
      <c r="AG188" s="1"/>
      <c r="AI188" s="1"/>
      <c r="AK188" s="1"/>
      <c r="AM188" s="1"/>
      <c r="AN188" s="75"/>
      <c r="AO188" s="1"/>
      <c r="AP188" s="1"/>
      <c r="AQ188" s="1"/>
    </row>
    <row r="189" spans="2:44" s="3" customFormat="1" x14ac:dyDescent="0.4">
      <c r="B189" s="1"/>
      <c r="C189" s="1"/>
      <c r="D189" s="1"/>
      <c r="E189" s="1"/>
      <c r="F189" s="1"/>
      <c r="G189" s="1"/>
      <c r="H189" s="1"/>
      <c r="I189" s="1"/>
      <c r="J189" s="1"/>
      <c r="K189" s="1"/>
      <c r="L189" s="1"/>
      <c r="M189" s="1"/>
      <c r="N189" s="1"/>
      <c r="Q189" s="1"/>
      <c r="R189" s="1"/>
      <c r="S189" s="1"/>
      <c r="T189" s="1"/>
      <c r="V189" s="1"/>
      <c r="X189" s="1"/>
      <c r="Y189" s="1"/>
      <c r="Z189" s="1"/>
      <c r="AA189" s="1"/>
      <c r="AC189" s="1"/>
      <c r="AE189" s="1"/>
      <c r="AG189" s="1"/>
      <c r="AI189" s="1"/>
      <c r="AK189" s="1"/>
      <c r="AM189" s="1"/>
      <c r="AN189" s="75"/>
      <c r="AO189" s="1"/>
      <c r="AP189" s="1"/>
      <c r="AQ189" s="1"/>
    </row>
    <row r="202" spans="28:29" x14ac:dyDescent="0.4">
      <c r="AB202" s="1" t="s">
        <v>371</v>
      </c>
    </row>
    <row r="203" spans="28:29" x14ac:dyDescent="0.4">
      <c r="AB203" s="3">
        <v>23.3</v>
      </c>
      <c r="AC203" s="27">
        <v>25.4</v>
      </c>
    </row>
    <row r="204" spans="28:29" x14ac:dyDescent="0.4">
      <c r="AB204" s="1"/>
    </row>
    <row r="205" spans="28:29" x14ac:dyDescent="0.4">
      <c r="AB205" s="1"/>
    </row>
    <row r="206" spans="28:29" x14ac:dyDescent="0.4">
      <c r="AB206" s="1"/>
    </row>
    <row r="207" spans="28:29" x14ac:dyDescent="0.4">
      <c r="AB207" s="1"/>
    </row>
    <row r="208" spans="28:29" x14ac:dyDescent="0.4">
      <c r="AB208" s="1"/>
    </row>
    <row r="209" spans="28:28" x14ac:dyDescent="0.4">
      <c r="AB209" s="1"/>
    </row>
    <row r="210" spans="28:28" x14ac:dyDescent="0.4">
      <c r="AB210" s="1"/>
    </row>
    <row r="211" spans="28:28" x14ac:dyDescent="0.4">
      <c r="AB211" s="1"/>
    </row>
    <row r="212" spans="28:28" x14ac:dyDescent="0.4">
      <c r="AB212" s="1"/>
    </row>
    <row r="213" spans="28:28" x14ac:dyDescent="0.4">
      <c r="AB213" s="1"/>
    </row>
    <row r="214" spans="28:28" x14ac:dyDescent="0.4">
      <c r="AB214" s="1"/>
    </row>
    <row r="215" spans="28:28" x14ac:dyDescent="0.4">
      <c r="AB215" s="1"/>
    </row>
    <row r="216" spans="28:28" x14ac:dyDescent="0.4">
      <c r="AB216" s="1"/>
    </row>
    <row r="217" spans="28:28" x14ac:dyDescent="0.4">
      <c r="AB217" s="1"/>
    </row>
    <row r="218" spans="28:28" x14ac:dyDescent="0.4">
      <c r="AB218" s="1"/>
    </row>
    <row r="219" spans="28:28" x14ac:dyDescent="0.4">
      <c r="AB219" s="1"/>
    </row>
    <row r="220" spans="28:28" x14ac:dyDescent="0.4">
      <c r="AB220" s="1"/>
    </row>
    <row r="221" spans="28:28" x14ac:dyDescent="0.4">
      <c r="AB221" s="1" t="s">
        <v>127</v>
      </c>
    </row>
    <row r="222" spans="28:28" x14ac:dyDescent="0.4">
      <c r="AB222" s="1">
        <f>MAX(MAX($J2:$J183),MAX('Мособлдума одномандатный №6'!$J2:$J183))*2</f>
        <v>6044</v>
      </c>
    </row>
  </sheetData>
  <pageMargins left="0.7" right="0.7" top="0.75" bottom="0.75" header="0.3" footer="0.3"/>
  <pageSetup paperSize="9" orientation="portrait" horizontalDpi="4294967295" verticalDpi="4294967295"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A08BB-941C-4197-9B6A-06D28E08EDF4}">
  <dimension ref="A1:M184"/>
  <sheetViews>
    <sheetView zoomScale="70" zoomScaleNormal="70" workbookViewId="0">
      <pane ySplit="1" topLeftCell="A2" activePane="bottomLeft" state="frozen"/>
      <selection pane="bottomLeft" activeCell="K2" sqref="K2"/>
    </sheetView>
  </sheetViews>
  <sheetFormatPr defaultRowHeight="14.15" x14ac:dyDescent="0.4"/>
  <cols>
    <col min="1" max="1" width="6.23046875" style="51" customWidth="1"/>
    <col min="2" max="2" width="21.765625" style="51" customWidth="1"/>
    <col min="3" max="3" width="7.15234375" style="51" customWidth="1"/>
    <col min="4" max="6" width="8.3046875" style="51" customWidth="1"/>
    <col min="7" max="10" width="20.84375" style="52" customWidth="1"/>
    <col min="11" max="11" width="20.84375" style="53" customWidth="1"/>
    <col min="12" max="12" width="40.3046875" style="52" bestFit="1" customWidth="1"/>
    <col min="13" max="13" width="95" style="66" bestFit="1" customWidth="1"/>
    <col min="14" max="16384" width="9.23046875" style="51"/>
  </cols>
  <sheetData>
    <row r="1" spans="1:13" s="44" customFormat="1" x14ac:dyDescent="0.4">
      <c r="A1" s="13" t="s">
        <v>98</v>
      </c>
      <c r="B1" s="13" t="s">
        <v>99</v>
      </c>
      <c r="C1" s="14" t="s">
        <v>316</v>
      </c>
      <c r="D1" s="14" t="s">
        <v>124</v>
      </c>
      <c r="E1" s="14" t="s">
        <v>454</v>
      </c>
      <c r="F1" s="14" t="s">
        <v>96</v>
      </c>
      <c r="G1" s="15" t="s">
        <v>119</v>
      </c>
      <c r="H1" s="15" t="s">
        <v>120</v>
      </c>
      <c r="I1" s="15" t="s">
        <v>121</v>
      </c>
      <c r="J1" s="15" t="s">
        <v>122</v>
      </c>
      <c r="K1" s="16" t="s">
        <v>123</v>
      </c>
      <c r="L1" s="15" t="s">
        <v>125</v>
      </c>
      <c r="M1" s="64" t="s">
        <v>126</v>
      </c>
    </row>
    <row r="2" spans="1:13" x14ac:dyDescent="0.4">
      <c r="A2" s="45">
        <v>3912</v>
      </c>
      <c r="B2" s="45" t="s">
        <v>322</v>
      </c>
      <c r="C2" s="45" t="s">
        <v>387</v>
      </c>
      <c r="D2" s="46">
        <v>2409</v>
      </c>
      <c r="E2" s="79">
        <v>2017</v>
      </c>
      <c r="F2" s="46"/>
      <c r="G2" s="47">
        <v>1299.1918531468532</v>
      </c>
      <c r="H2" s="47">
        <v>1281.6094520547945</v>
      </c>
      <c r="I2" s="47">
        <v>1195.0178337950138</v>
      </c>
      <c r="J2" s="47">
        <v>1183.8570026809653</v>
      </c>
      <c r="K2" s="48">
        <f>AVERAGE(Оценка_фальсификаций[[#This Row],[Ф. дума партии]:[Ф. мособлдума одномандатный]])</f>
        <v>1239.9190354194066</v>
      </c>
      <c r="L2" s="17" t="s">
        <v>389</v>
      </c>
      <c r="M2" s="17" t="s">
        <v>448</v>
      </c>
    </row>
    <row r="3" spans="1:13" x14ac:dyDescent="0.4">
      <c r="A3" s="49">
        <v>3943</v>
      </c>
      <c r="B3" s="49" t="s">
        <v>360</v>
      </c>
      <c r="C3" s="49" t="s">
        <v>388</v>
      </c>
      <c r="D3" s="50">
        <v>2441</v>
      </c>
      <c r="E3" s="78" t="s">
        <v>455</v>
      </c>
      <c r="G3" s="52">
        <v>1064.4504545454545</v>
      </c>
      <c r="H3" s="52">
        <v>1075.6097260273971</v>
      </c>
      <c r="I3" s="52">
        <v>1119.599108033241</v>
      </c>
      <c r="J3" s="52">
        <v>1026.8059082568807</v>
      </c>
      <c r="K3" s="53">
        <f>AVERAGE(Оценка_фальсификаций[[#This Row],[Ф. дума партии]:[Ф. мособлдума одномандатный]])</f>
        <v>1071.6162992157433</v>
      </c>
      <c r="L3" t="s">
        <v>390</v>
      </c>
      <c r="M3" t="s">
        <v>450</v>
      </c>
    </row>
    <row r="4" spans="1:13" s="54" customFormat="1" x14ac:dyDescent="0.4">
      <c r="A4" s="45">
        <v>3987</v>
      </c>
      <c r="B4" s="45" t="s">
        <v>346</v>
      </c>
      <c r="C4" s="45" t="s">
        <v>387</v>
      </c>
      <c r="D4" s="46">
        <v>2401</v>
      </c>
      <c r="E4" s="79" t="s">
        <v>455</v>
      </c>
      <c r="F4" s="46"/>
      <c r="G4" s="47">
        <v>1020.6594755244755</v>
      </c>
      <c r="H4" s="47">
        <v>1054.0931506849315</v>
      </c>
      <c r="I4" s="47">
        <v>1018.9956731301938</v>
      </c>
      <c r="J4" s="47">
        <v>1112.2470777479894</v>
      </c>
      <c r="K4" s="48">
        <f>AVERAGE(Оценка_фальсификаций[[#This Row],[Ф. дума партии]:[Ф. мособлдума одномандатный]])</f>
        <v>1051.4988442718975</v>
      </c>
      <c r="L4" s="17" t="s">
        <v>391</v>
      </c>
      <c r="M4" s="17" t="s">
        <v>398</v>
      </c>
    </row>
    <row r="5" spans="1:13" x14ac:dyDescent="0.4">
      <c r="A5" s="49">
        <v>3605</v>
      </c>
      <c r="B5" s="49" t="s">
        <v>321</v>
      </c>
      <c r="C5" s="49" t="s">
        <v>387</v>
      </c>
      <c r="D5" s="50">
        <v>1659</v>
      </c>
      <c r="E5" s="78" t="s">
        <v>455</v>
      </c>
      <c r="G5" s="52">
        <v>873.39807692307693</v>
      </c>
      <c r="H5" s="52">
        <v>1035.6599999999999</v>
      </c>
      <c r="I5" s="52">
        <v>1096.6248310249307</v>
      </c>
      <c r="J5" s="52">
        <v>870.00307033639137</v>
      </c>
      <c r="K5" s="53">
        <f>AVERAGE(Оценка_фальсификаций[[#This Row],[Ф. дума партии]:[Ф. мособлдума одномандатный]])</f>
        <v>968.92149457109974</v>
      </c>
      <c r="L5" t="s">
        <v>392</v>
      </c>
      <c r="M5" t="s">
        <v>399</v>
      </c>
    </row>
    <row r="6" spans="1:13" x14ac:dyDescent="0.4">
      <c r="A6" s="49">
        <v>214</v>
      </c>
      <c r="B6" s="49" t="s">
        <v>312</v>
      </c>
      <c r="C6" s="49" t="s">
        <v>386</v>
      </c>
      <c r="D6" s="50">
        <v>1942</v>
      </c>
      <c r="E6" s="78" t="s">
        <v>455</v>
      </c>
      <c r="G6" s="52">
        <v>964.08125874125881</v>
      </c>
      <c r="H6" s="52">
        <v>889.03726027397261</v>
      </c>
      <c r="I6" s="52">
        <v>867.77232686980619</v>
      </c>
      <c r="J6" s="52">
        <v>819.29765137614675</v>
      </c>
      <c r="K6" s="53">
        <f>AVERAGE(Оценка_фальсификаций[[#This Row],[Ф. дума партии]:[Ф. мособлдума одномандатный]])</f>
        <v>885.04712431529606</v>
      </c>
      <c r="L6" t="s">
        <v>393</v>
      </c>
      <c r="M6" t="s">
        <v>400</v>
      </c>
    </row>
    <row r="7" spans="1:13" x14ac:dyDescent="0.4">
      <c r="A7" s="49">
        <v>2074</v>
      </c>
      <c r="B7" s="49" t="s">
        <v>320</v>
      </c>
      <c r="C7" s="49" t="s">
        <v>387</v>
      </c>
      <c r="D7" s="50">
        <v>2625</v>
      </c>
      <c r="E7" s="78">
        <v>2017</v>
      </c>
      <c r="G7" s="52">
        <v>770.22503496503509</v>
      </c>
      <c r="H7" s="52">
        <v>734.46164383561643</v>
      </c>
      <c r="I7" s="52">
        <v>844.18197229916882</v>
      </c>
      <c r="J7" s="52">
        <v>810.39385321100917</v>
      </c>
      <c r="K7" s="53">
        <f>AVERAGE(Оценка_фальсификаций[[#This Row],[Ф. дума партии]:[Ф. мособлдума одномандатный]])</f>
        <v>789.81562607770741</v>
      </c>
      <c r="L7" t="s">
        <v>407</v>
      </c>
      <c r="M7" t="s">
        <v>408</v>
      </c>
    </row>
    <row r="8" spans="1:13" x14ac:dyDescent="0.4">
      <c r="A8" s="45">
        <v>3913</v>
      </c>
      <c r="B8" s="45" t="s">
        <v>322</v>
      </c>
      <c r="C8" s="45" t="s">
        <v>387</v>
      </c>
      <c r="D8" s="46">
        <v>1292</v>
      </c>
      <c r="E8" s="79" t="s">
        <v>455</v>
      </c>
      <c r="F8" s="46"/>
      <c r="G8" s="47">
        <v>1034.4577972027973</v>
      </c>
      <c r="H8" s="47">
        <v>701.18424657534251</v>
      </c>
      <c r="I8" s="47">
        <v>702.39950692520779</v>
      </c>
      <c r="J8" s="47">
        <v>676.19718498659518</v>
      </c>
      <c r="K8" s="48">
        <f>AVERAGE(Оценка_фальсификаций[[#This Row],[Ф. дума партии]:[Ф. мособлдума одномандатный]])</f>
        <v>778.55968392248565</v>
      </c>
      <c r="L8" s="17" t="s">
        <v>409</v>
      </c>
      <c r="M8" s="17" t="s">
        <v>410</v>
      </c>
    </row>
    <row r="9" spans="1:13" x14ac:dyDescent="0.4">
      <c r="A9" s="45">
        <v>3989</v>
      </c>
      <c r="B9" s="45" t="s">
        <v>347</v>
      </c>
      <c r="C9" s="45" t="s">
        <v>387</v>
      </c>
      <c r="D9" s="46">
        <v>2141</v>
      </c>
      <c r="E9" s="79" t="s">
        <v>455</v>
      </c>
      <c r="F9" s="46"/>
      <c r="G9" s="47">
        <v>877.56986013986022</v>
      </c>
      <c r="H9" s="47">
        <v>725.11027397260273</v>
      </c>
      <c r="I9" s="47">
        <v>629.75651523545707</v>
      </c>
      <c r="J9" s="47">
        <v>857.18453083109921</v>
      </c>
      <c r="K9" s="48">
        <f>AVERAGE(Оценка_фальсификаций[[#This Row],[Ф. дума партии]:[Ф. мособлдума одномандатный]])</f>
        <v>772.40529504475489</v>
      </c>
      <c r="L9" s="17" t="s">
        <v>411</v>
      </c>
      <c r="M9" s="17" t="s">
        <v>412</v>
      </c>
    </row>
    <row r="10" spans="1:13" x14ac:dyDescent="0.4">
      <c r="A10" s="49">
        <v>220</v>
      </c>
      <c r="B10" s="49" t="s">
        <v>312</v>
      </c>
      <c r="C10" s="49" t="s">
        <v>386</v>
      </c>
      <c r="D10" s="50">
        <v>2012</v>
      </c>
      <c r="E10" s="78" t="s">
        <v>455</v>
      </c>
      <c r="G10" s="52">
        <v>769.3668881118881</v>
      </c>
      <c r="H10" s="52">
        <v>641.38602739726025</v>
      </c>
      <c r="I10" s="52">
        <v>865.93086426592799</v>
      </c>
      <c r="J10" s="52">
        <v>774.27047706422013</v>
      </c>
      <c r="K10" s="53">
        <f>AVERAGE(Оценка_фальсификаций[[#This Row],[Ф. дума партии]:[Ф. мособлдума одномандатный]])</f>
        <v>762.73856420982406</v>
      </c>
      <c r="L10" t="s">
        <v>394</v>
      </c>
      <c r="M10" t="s">
        <v>397</v>
      </c>
    </row>
    <row r="11" spans="1:13" x14ac:dyDescent="0.4">
      <c r="A11" s="49">
        <v>219</v>
      </c>
      <c r="B11" s="49" t="s">
        <v>312</v>
      </c>
      <c r="C11" s="49" t="s">
        <v>386</v>
      </c>
      <c r="D11" s="50">
        <v>1804</v>
      </c>
      <c r="E11" s="78" t="s">
        <v>455</v>
      </c>
      <c r="G11" s="52">
        <v>664.25664335664339</v>
      </c>
      <c r="H11" s="52">
        <v>683.1049315068492</v>
      </c>
      <c r="I11" s="52">
        <v>739.15767313019387</v>
      </c>
      <c r="J11" s="52">
        <v>644.80014678899079</v>
      </c>
      <c r="K11" s="53">
        <f>AVERAGE(Оценка_фальсификаций[[#This Row],[Ф. дума партии]:[Ф. мособлдума одномандатный]])</f>
        <v>682.82984869566928</v>
      </c>
      <c r="L11" t="s">
        <v>395</v>
      </c>
      <c r="M11" t="s">
        <v>396</v>
      </c>
    </row>
    <row r="12" spans="1:13" x14ac:dyDescent="0.4">
      <c r="A12" s="49">
        <v>2011</v>
      </c>
      <c r="B12" s="49" t="s">
        <v>349</v>
      </c>
      <c r="C12" s="49" t="s">
        <v>388</v>
      </c>
      <c r="D12" s="50">
        <v>1800</v>
      </c>
      <c r="E12" s="78">
        <v>2017</v>
      </c>
      <c r="G12" s="52">
        <v>641.96181818181822</v>
      </c>
      <c r="H12" s="52">
        <v>686.03671232876707</v>
      </c>
      <c r="I12" s="52">
        <v>786.04726869806086</v>
      </c>
      <c r="J12" s="52">
        <v>589.64812232415898</v>
      </c>
      <c r="K12" s="53">
        <f>AVERAGE(Оценка_фальсификаций[[#This Row],[Ф. дума партии]:[Ф. мособлдума одномандатный]])</f>
        <v>675.92348038320119</v>
      </c>
      <c r="L12" t="s">
        <v>413</v>
      </c>
      <c r="M12" t="s">
        <v>446</v>
      </c>
    </row>
    <row r="13" spans="1:13" x14ac:dyDescent="0.4">
      <c r="A13" s="49">
        <v>215</v>
      </c>
      <c r="B13" s="49" t="s">
        <v>312</v>
      </c>
      <c r="C13" s="49" t="s">
        <v>386</v>
      </c>
      <c r="D13" s="50">
        <v>2110</v>
      </c>
      <c r="E13" s="78" t="s">
        <v>455</v>
      </c>
      <c r="G13" s="52">
        <v>646.18458041958047</v>
      </c>
      <c r="H13" s="52">
        <v>820.52794520547945</v>
      </c>
      <c r="I13" s="52">
        <v>577.1021939058171</v>
      </c>
      <c r="J13" s="52">
        <v>321.8565993883791</v>
      </c>
      <c r="K13" s="53">
        <f>AVERAGE(Оценка_фальсификаций[[#This Row],[Ф. дума партии]:[Ф. мособлдума одномандатный]])</f>
        <v>591.417829729814</v>
      </c>
      <c r="L13" t="s">
        <v>401</v>
      </c>
      <c r="M13" t="s">
        <v>402</v>
      </c>
    </row>
    <row r="14" spans="1:13" x14ac:dyDescent="0.4">
      <c r="A14" s="51">
        <v>212</v>
      </c>
      <c r="B14" s="51" t="s">
        <v>312</v>
      </c>
      <c r="C14" s="51" t="s">
        <v>386</v>
      </c>
      <c r="D14" s="51">
        <v>2451</v>
      </c>
      <c r="E14" s="77" t="s">
        <v>455</v>
      </c>
      <c r="G14" s="52">
        <v>463.1698951048952</v>
      </c>
      <c r="H14" s="52">
        <v>505.10876712328763</v>
      </c>
      <c r="I14" s="52">
        <v>489.32129639889189</v>
      </c>
      <c r="J14" s="52">
        <v>542.26707033639127</v>
      </c>
      <c r="K14" s="53">
        <f>AVERAGE(Оценка_фальсификаций[[#This Row],[Ф. дума партии]:[Ф. мособлдума одномандатный]])</f>
        <v>499.96675724086651</v>
      </c>
      <c r="L14" s="1" t="s">
        <v>403</v>
      </c>
      <c r="M14" s="1" t="s">
        <v>404</v>
      </c>
    </row>
    <row r="15" spans="1:13" x14ac:dyDescent="0.4">
      <c r="A15" s="49">
        <v>1981</v>
      </c>
      <c r="B15" s="49" t="s">
        <v>349</v>
      </c>
      <c r="C15" s="49" t="s">
        <v>388</v>
      </c>
      <c r="D15" s="50">
        <v>2309</v>
      </c>
      <c r="E15" s="78">
        <v>2017</v>
      </c>
      <c r="G15" s="52">
        <v>634.02608391608396</v>
      </c>
      <c r="H15" s="52">
        <v>450.68547945205478</v>
      </c>
      <c r="I15" s="52">
        <v>427.47997229916894</v>
      </c>
      <c r="J15" s="52">
        <v>433.43816513761465</v>
      </c>
      <c r="K15" s="53">
        <f>AVERAGE(Оценка_фальсификаций[[#This Row],[Ф. дума партии]:[Ф. мособлдума одномандатный]])</f>
        <v>486.40742520123058</v>
      </c>
      <c r="L15" t="s">
        <v>414</v>
      </c>
      <c r="M15" t="s">
        <v>415</v>
      </c>
    </row>
    <row r="16" spans="1:13" x14ac:dyDescent="0.4">
      <c r="A16" s="49">
        <v>2005</v>
      </c>
      <c r="B16" s="49" t="s">
        <v>349</v>
      </c>
      <c r="C16" s="49" t="s">
        <v>388</v>
      </c>
      <c r="D16" s="50">
        <v>1900</v>
      </c>
      <c r="E16" s="78">
        <v>2017</v>
      </c>
      <c r="G16" s="52">
        <v>445.16580419580424</v>
      </c>
      <c r="H16" s="52">
        <v>456.81863013698631</v>
      </c>
      <c r="I16" s="52">
        <v>478.91229362880881</v>
      </c>
      <c r="J16" s="52">
        <v>429.91970030581035</v>
      </c>
      <c r="K16" s="53">
        <f>AVERAGE(Оценка_фальсификаций[[#This Row],[Ф. дума партии]:[Ф. мособлдума одномандатный]])</f>
        <v>452.70410706685243</v>
      </c>
      <c r="L16" t="s">
        <v>416</v>
      </c>
      <c r="M16" t="s">
        <v>417</v>
      </c>
    </row>
    <row r="17" spans="1:13" x14ac:dyDescent="0.4">
      <c r="A17" s="49">
        <v>3950</v>
      </c>
      <c r="B17" s="49" t="s">
        <v>327</v>
      </c>
      <c r="C17" s="49" t="s">
        <v>387</v>
      </c>
      <c r="D17" s="50">
        <v>2613</v>
      </c>
      <c r="E17" s="78" t="s">
        <v>455</v>
      </c>
      <c r="G17" s="52">
        <v>446.50825174825184</v>
      </c>
      <c r="H17" s="52">
        <v>465.98465753424659</v>
      </c>
      <c r="I17" s="52">
        <v>473.18818836565094</v>
      </c>
      <c r="J17" s="52">
        <v>421.20999999999992</v>
      </c>
      <c r="K17" s="53">
        <f>AVERAGE(Оценка_фальсификаций[[#This Row],[Ф. дума партии]:[Ф. мособлдума одномандатный]])</f>
        <v>451.72277441203732</v>
      </c>
      <c r="L17" t="s">
        <v>418</v>
      </c>
      <c r="M17" t="s">
        <v>419</v>
      </c>
    </row>
    <row r="18" spans="1:13" x14ac:dyDescent="0.4">
      <c r="A18" s="49">
        <v>695</v>
      </c>
      <c r="B18" s="49" t="s">
        <v>317</v>
      </c>
      <c r="C18" s="49" t="s">
        <v>387</v>
      </c>
      <c r="D18" s="50">
        <v>882</v>
      </c>
      <c r="E18" s="78" t="s">
        <v>455</v>
      </c>
      <c r="G18" s="52">
        <v>387.9758391608392</v>
      </c>
      <c r="H18" s="52">
        <v>387.82068493150683</v>
      </c>
      <c r="I18" s="52">
        <v>448.47061495844872</v>
      </c>
      <c r="J18" s="52">
        <v>387.75458715596324</v>
      </c>
      <c r="K18" s="53">
        <f>AVERAGE(Оценка_фальсификаций[[#This Row],[Ф. дума партии]:[Ф. мособлдума одномандатный]])</f>
        <v>403.00543155168953</v>
      </c>
      <c r="L18" t="s">
        <v>420</v>
      </c>
      <c r="M18" t="s">
        <v>421</v>
      </c>
    </row>
    <row r="19" spans="1:13" x14ac:dyDescent="0.4">
      <c r="A19" s="45">
        <v>3917</v>
      </c>
      <c r="B19" s="45" t="s">
        <v>322</v>
      </c>
      <c r="C19" s="45" t="s">
        <v>387</v>
      </c>
      <c r="D19" s="46">
        <v>2237</v>
      </c>
      <c r="E19" s="79">
        <v>2017</v>
      </c>
      <c r="F19" s="46"/>
      <c r="G19" s="47">
        <v>403.67737762237766</v>
      </c>
      <c r="H19" s="47">
        <v>411.19068493150678</v>
      </c>
      <c r="I19" s="47">
        <v>390.63040997229911</v>
      </c>
      <c r="J19" s="47">
        <v>400.37353887399462</v>
      </c>
      <c r="K19" s="48">
        <f>AVERAGE(Оценка_фальсификаций[[#This Row],[Ф. дума партии]:[Ф. мособлдума одномандатный]])</f>
        <v>401.46800285004457</v>
      </c>
      <c r="L19" s="17" t="s">
        <v>422</v>
      </c>
      <c r="M19" s="17" t="s">
        <v>445</v>
      </c>
    </row>
    <row r="20" spans="1:13" x14ac:dyDescent="0.4">
      <c r="A20" s="49">
        <v>1948</v>
      </c>
      <c r="B20" s="49" t="s">
        <v>349</v>
      </c>
      <c r="C20" s="49" t="s">
        <v>388</v>
      </c>
      <c r="D20" s="50">
        <v>1535</v>
      </c>
      <c r="E20" s="78">
        <v>2017</v>
      </c>
      <c r="G20" s="52">
        <v>409.27657342657346</v>
      </c>
      <c r="H20" s="52">
        <v>382.64794520547946</v>
      </c>
      <c r="I20" s="52">
        <v>435.34003878116334</v>
      </c>
      <c r="J20" s="52">
        <v>375.57935779816512</v>
      </c>
      <c r="K20" s="53">
        <f>AVERAGE(Оценка_фальсификаций[[#This Row],[Ф. дума партии]:[Ф. мособлдума одномандатный]])</f>
        <v>400.71097880284532</v>
      </c>
      <c r="L20" t="s">
        <v>423</v>
      </c>
      <c r="M20" t="s">
        <v>424</v>
      </c>
    </row>
    <row r="21" spans="1:13" x14ac:dyDescent="0.4">
      <c r="A21" s="49">
        <v>213</v>
      </c>
      <c r="B21" s="49" t="s">
        <v>312</v>
      </c>
      <c r="C21" s="49" t="s">
        <v>386</v>
      </c>
      <c r="D21" s="50">
        <v>1779</v>
      </c>
      <c r="E21" s="78" t="s">
        <v>455</v>
      </c>
      <c r="G21" s="52">
        <v>455.36160839160846</v>
      </c>
      <c r="H21" s="52">
        <v>373.61671232876711</v>
      </c>
      <c r="I21" s="52">
        <v>425.22214958448751</v>
      </c>
      <c r="J21" s="52">
        <v>337.61381651376138</v>
      </c>
      <c r="K21" s="53">
        <f>AVERAGE(Оценка_фальсификаций[[#This Row],[Ф. дума партии]:[Ф. мособлдума одномандатный]])</f>
        <v>397.9535717046561</v>
      </c>
      <c r="L21" t="s">
        <v>405</v>
      </c>
      <c r="M21" t="s">
        <v>406</v>
      </c>
    </row>
    <row r="22" spans="1:13" x14ac:dyDescent="0.4">
      <c r="A22" s="49">
        <v>3938</v>
      </c>
      <c r="B22" s="49" t="s">
        <v>353</v>
      </c>
      <c r="C22" s="49" t="s">
        <v>387</v>
      </c>
      <c r="D22" s="50">
        <v>1897</v>
      </c>
      <c r="E22" s="78" t="s">
        <v>455</v>
      </c>
      <c r="G22" s="52">
        <v>410.04125874125873</v>
      </c>
      <c r="H22" s="52">
        <v>375.65547945205481</v>
      </c>
      <c r="I22" s="52">
        <v>427.71354016620495</v>
      </c>
      <c r="J22" s="52">
        <v>364.32168195718651</v>
      </c>
      <c r="K22" s="53">
        <f>AVERAGE(Оценка_фальсификаций[[#This Row],[Ф. дума партии]:[Ф. мособлдума одномандатный]])</f>
        <v>394.43299007917625</v>
      </c>
      <c r="L22" t="s">
        <v>425</v>
      </c>
      <c r="M22" t="s">
        <v>426</v>
      </c>
    </row>
    <row r="23" spans="1:13" x14ac:dyDescent="0.4">
      <c r="A23" s="49">
        <v>2048</v>
      </c>
      <c r="B23" s="49" t="s">
        <v>318</v>
      </c>
      <c r="C23" s="49" t="s">
        <v>387</v>
      </c>
      <c r="D23" s="50">
        <v>2079</v>
      </c>
      <c r="E23" s="78" t="s">
        <v>455</v>
      </c>
      <c r="G23" s="52">
        <v>305.6192307692308</v>
      </c>
      <c r="H23" s="52">
        <v>397.89657534246572</v>
      </c>
      <c r="I23" s="52">
        <v>423.80381717451519</v>
      </c>
      <c r="J23" s="52">
        <v>417.90327828746172</v>
      </c>
      <c r="K23" s="53">
        <f>AVERAGE(Оценка_фальсификаций[[#This Row],[Ф. дума партии]:[Ф. мособлдума одномандатный]])</f>
        <v>386.30572539341836</v>
      </c>
      <c r="L23" t="s">
        <v>427</v>
      </c>
      <c r="M23" t="s">
        <v>428</v>
      </c>
    </row>
    <row r="24" spans="1:13" x14ac:dyDescent="0.4">
      <c r="A24" s="49">
        <v>3984</v>
      </c>
      <c r="B24" s="49" t="s">
        <v>343</v>
      </c>
      <c r="C24" s="49" t="s">
        <v>387</v>
      </c>
      <c r="D24" s="50">
        <v>1911</v>
      </c>
      <c r="E24" s="78" t="s">
        <v>455</v>
      </c>
      <c r="G24" s="52">
        <v>338.07587412587418</v>
      </c>
      <c r="H24" s="52">
        <v>452.20191780821915</v>
      </c>
      <c r="I24" s="52">
        <v>368.16050415512461</v>
      </c>
      <c r="J24" s="52">
        <v>345.54359633027519</v>
      </c>
      <c r="K24" s="53">
        <f>AVERAGE(Оценка_фальсификаций[[#This Row],[Ф. дума партии]:[Ф. мособлдума одномандатный]])</f>
        <v>375.99547310487333</v>
      </c>
      <c r="L24" t="s">
        <v>429</v>
      </c>
      <c r="M24" t="s">
        <v>430</v>
      </c>
    </row>
    <row r="25" spans="1:13" x14ac:dyDescent="0.4">
      <c r="A25" s="49">
        <v>218</v>
      </c>
      <c r="B25" s="49" t="s">
        <v>312</v>
      </c>
      <c r="C25" s="49" t="s">
        <v>386</v>
      </c>
      <c r="D25" s="50">
        <v>1973</v>
      </c>
      <c r="E25" s="78" t="s">
        <v>455</v>
      </c>
      <c r="G25" s="52">
        <v>377.5676223776224</v>
      </c>
      <c r="H25" s="52">
        <v>356.68315068493149</v>
      </c>
      <c r="I25" s="52">
        <v>429.12171745152352</v>
      </c>
      <c r="J25" s="52">
        <v>322.30478899082561</v>
      </c>
      <c r="K25" s="53">
        <f>AVERAGE(Оценка_фальсификаций[[#This Row],[Ф. дума партии]:[Ф. мособлдума одномандатный]])</f>
        <v>371.41931987622581</v>
      </c>
      <c r="L25" t="s">
        <v>431</v>
      </c>
      <c r="M25" t="s">
        <v>432</v>
      </c>
    </row>
    <row r="26" spans="1:13" x14ac:dyDescent="0.4">
      <c r="A26" s="45">
        <v>3992</v>
      </c>
      <c r="B26" s="45" t="s">
        <v>346</v>
      </c>
      <c r="C26" s="45" t="s">
        <v>387</v>
      </c>
      <c r="D26" s="46">
        <v>915</v>
      </c>
      <c r="E26" s="79" t="s">
        <v>455</v>
      </c>
      <c r="F26" s="46"/>
      <c r="G26" s="47">
        <v>308.47405594405598</v>
      </c>
      <c r="H26" s="47">
        <v>377.77849315068488</v>
      </c>
      <c r="I26" s="47">
        <v>333.43336288088642</v>
      </c>
      <c r="J26" s="47">
        <v>395.15904557640749</v>
      </c>
      <c r="K26" s="48">
        <f>AVERAGE(Оценка_фальсификаций[[#This Row],[Ф. дума партии]:[Ф. мособлдума одномандатный]])</f>
        <v>353.71123938800872</v>
      </c>
      <c r="L26" s="17" t="s">
        <v>435</v>
      </c>
      <c r="M26" s="17" t="s">
        <v>436</v>
      </c>
    </row>
    <row r="27" spans="1:13" x14ac:dyDescent="0.4">
      <c r="A27" s="55">
        <v>3947</v>
      </c>
      <c r="B27" s="55" t="s">
        <v>361</v>
      </c>
      <c r="C27" s="55" t="s">
        <v>388</v>
      </c>
      <c r="D27" s="56">
        <v>1658</v>
      </c>
      <c r="E27" s="81">
        <v>2017</v>
      </c>
      <c r="F27" s="56">
        <v>4</v>
      </c>
      <c r="G27" s="57">
        <v>301.81159420289856</v>
      </c>
      <c r="H27" s="57">
        <v>258.89741379310345</v>
      </c>
      <c r="I27" s="57">
        <v>609.44842922374437</v>
      </c>
      <c r="J27" s="57">
        <v>244.42172020725388</v>
      </c>
      <c r="K27" s="58">
        <f>AVERAGE(Оценка_фальсификаций[[#This Row],[Ф. дума партии]:[Ф. мособлдума одномандатный]])</f>
        <v>353.6447893567501</v>
      </c>
      <c r="L27" s="28" t="s">
        <v>437</v>
      </c>
      <c r="M27" s="28" t="s">
        <v>438</v>
      </c>
    </row>
    <row r="28" spans="1:13" s="46" customFormat="1" x14ac:dyDescent="0.4">
      <c r="A28" s="49">
        <v>3963</v>
      </c>
      <c r="B28" s="49" t="s">
        <v>336</v>
      </c>
      <c r="C28" s="49" t="s">
        <v>387</v>
      </c>
      <c r="D28" s="50">
        <v>2038</v>
      </c>
      <c r="E28" s="78">
        <v>2017</v>
      </c>
      <c r="F28" s="51"/>
      <c r="G28" s="52">
        <v>343.13129370629372</v>
      </c>
      <c r="H28" s="52">
        <v>324.1639726027397</v>
      </c>
      <c r="I28" s="52">
        <v>367.82538504155116</v>
      </c>
      <c r="J28" s="52">
        <v>358.88341284403663</v>
      </c>
      <c r="K28" s="53">
        <f>AVERAGE(Оценка_фальсификаций[[#This Row],[Ф. дума партии]:[Ф. мособлдума одномандатный]])</f>
        <v>348.50101604865529</v>
      </c>
      <c r="L28" t="s">
        <v>439</v>
      </c>
      <c r="M28" t="s">
        <v>440</v>
      </c>
    </row>
    <row r="29" spans="1:13" s="46" customFormat="1" x14ac:dyDescent="0.4">
      <c r="A29" s="49">
        <v>217</v>
      </c>
      <c r="B29" s="49" t="s">
        <v>312</v>
      </c>
      <c r="C29" s="49" t="s">
        <v>386</v>
      </c>
      <c r="D29" s="50">
        <v>1954</v>
      </c>
      <c r="E29" s="78" t="s">
        <v>455</v>
      </c>
      <c r="F29" s="51"/>
      <c r="G29" s="52">
        <v>364.1431468531469</v>
      </c>
      <c r="H29" s="52">
        <v>319.5304109589041</v>
      </c>
      <c r="I29" s="52">
        <v>353.93317451523546</v>
      </c>
      <c r="J29" s="52">
        <v>318.48635474006107</v>
      </c>
      <c r="K29" s="53">
        <f>AVERAGE(Оценка_фальсификаций[[#This Row],[Ф. дума партии]:[Ф. мособлдума одномандатный]])</f>
        <v>339.02327176683684</v>
      </c>
      <c r="L29" t="s">
        <v>433</v>
      </c>
      <c r="M29" t="s">
        <v>434</v>
      </c>
    </row>
    <row r="30" spans="1:13" s="46" customFormat="1" x14ac:dyDescent="0.4">
      <c r="A30" s="49">
        <v>3986</v>
      </c>
      <c r="B30" s="49" t="s">
        <v>345</v>
      </c>
      <c r="C30" s="49" t="s">
        <v>387</v>
      </c>
      <c r="D30" s="50">
        <v>1316</v>
      </c>
      <c r="E30" s="78">
        <v>2017</v>
      </c>
      <c r="F30" s="51"/>
      <c r="G30" s="52">
        <v>327.88006993006991</v>
      </c>
      <c r="H30" s="52">
        <v>339.58109589041095</v>
      </c>
      <c r="I30" s="52">
        <v>360.80480886426591</v>
      </c>
      <c r="J30" s="52">
        <v>311.08240366972473</v>
      </c>
      <c r="K30" s="53">
        <f>AVERAGE(Оценка_фальсификаций[[#This Row],[Ф. дума партии]:[Ф. мособлдума одномандатный]])</f>
        <v>334.83709458861784</v>
      </c>
      <c r="L30" s="52" t="s">
        <v>441</v>
      </c>
      <c r="M30" s="66" t="s">
        <v>442</v>
      </c>
    </row>
    <row r="31" spans="1:13" s="46" customFormat="1" x14ac:dyDescent="0.4">
      <c r="A31" s="49">
        <v>3606</v>
      </c>
      <c r="B31" s="49" t="s">
        <v>321</v>
      </c>
      <c r="C31" s="49" t="s">
        <v>387</v>
      </c>
      <c r="D31" s="50">
        <v>1916</v>
      </c>
      <c r="E31" s="78" t="s">
        <v>455</v>
      </c>
      <c r="F31" s="51"/>
      <c r="G31" s="52">
        <v>282.4662587412588</v>
      </c>
      <c r="H31" s="52">
        <v>325.37712328767122</v>
      </c>
      <c r="I31" s="52">
        <v>345.19976731301938</v>
      </c>
      <c r="J31" s="52">
        <v>287.05661773700302</v>
      </c>
      <c r="K31" s="53">
        <f>AVERAGE(Оценка_фальсификаций[[#This Row],[Ф. дума партии]:[Ф. мособлдума одномандатный]])</f>
        <v>310.02494176973812</v>
      </c>
      <c r="L31" s="52" t="s">
        <v>443</v>
      </c>
      <c r="M31" s="66" t="s">
        <v>444</v>
      </c>
    </row>
    <row r="32" spans="1:13" s="46" customFormat="1" x14ac:dyDescent="0.4">
      <c r="A32" s="49">
        <v>3983</v>
      </c>
      <c r="B32" s="49" t="s">
        <v>343</v>
      </c>
      <c r="C32" s="49" t="s">
        <v>387</v>
      </c>
      <c r="D32" s="50">
        <v>1969</v>
      </c>
      <c r="E32" s="78">
        <v>2017</v>
      </c>
      <c r="F32" s="51"/>
      <c r="G32" s="52">
        <v>278.98269230769233</v>
      </c>
      <c r="H32" s="52">
        <v>261.6698630136986</v>
      </c>
      <c r="I32" s="52">
        <v>298.03598337950132</v>
      </c>
      <c r="J32" s="52">
        <v>277.04822629969419</v>
      </c>
      <c r="K32" s="53">
        <f>AVERAGE(Оценка_фальсификаций[[#This Row],[Ф. дума партии]:[Ф. мособлдума одномандатный]])</f>
        <v>278.93419125014663</v>
      </c>
      <c r="L32" s="52"/>
      <c r="M32" s="66"/>
    </row>
    <row r="33" spans="1:13" s="46" customFormat="1" x14ac:dyDescent="0.4">
      <c r="A33" s="49">
        <v>3962</v>
      </c>
      <c r="B33" s="49" t="s">
        <v>335</v>
      </c>
      <c r="C33" s="49" t="s">
        <v>387</v>
      </c>
      <c r="D33" s="50">
        <v>1330</v>
      </c>
      <c r="E33" s="78" t="s">
        <v>455</v>
      </c>
      <c r="F33" s="51"/>
      <c r="G33" s="52">
        <v>290.41048951048953</v>
      </c>
      <c r="H33" s="52">
        <v>245.86520547945204</v>
      </c>
      <c r="I33" s="52">
        <v>332.6141828254847</v>
      </c>
      <c r="J33" s="52">
        <v>241.76829357798164</v>
      </c>
      <c r="K33" s="53">
        <f>AVERAGE(Оценка_фальсификаций[[#This Row],[Ф. дума партии]:[Ф. мособлдума одномандатный]])</f>
        <v>277.66454284835197</v>
      </c>
      <c r="L33" s="52"/>
      <c r="M33" s="66"/>
    </row>
    <row r="34" spans="1:13" s="46" customFormat="1" x14ac:dyDescent="0.4">
      <c r="A34" s="49">
        <v>1947</v>
      </c>
      <c r="B34" s="49" t="s">
        <v>349</v>
      </c>
      <c r="C34" s="49" t="s">
        <v>388</v>
      </c>
      <c r="D34" s="50">
        <v>2387</v>
      </c>
      <c r="E34" s="78">
        <v>2017</v>
      </c>
      <c r="F34" s="51"/>
      <c r="G34" s="52">
        <v>265.17587412587415</v>
      </c>
      <c r="H34" s="52">
        <v>279.00780821917806</v>
      </c>
      <c r="I34" s="52">
        <v>272.79711357340716</v>
      </c>
      <c r="J34" s="52">
        <v>274.6343547400611</v>
      </c>
      <c r="K34" s="53">
        <f>AVERAGE(Оценка_фальсификаций[[#This Row],[Ф. дума партии]:[Ф. мособлдума одномандатный]])</f>
        <v>272.9037876646301</v>
      </c>
      <c r="L34" s="52"/>
      <c r="M34" s="66"/>
    </row>
    <row r="35" spans="1:13" s="46" customFormat="1" x14ac:dyDescent="0.4">
      <c r="A35" s="49">
        <v>2036</v>
      </c>
      <c r="B35" s="49" t="s">
        <v>356</v>
      </c>
      <c r="C35" s="49" t="s">
        <v>388</v>
      </c>
      <c r="D35" s="50">
        <v>1086</v>
      </c>
      <c r="E35" s="78">
        <v>2017</v>
      </c>
      <c r="F35" s="51"/>
      <c r="G35" s="52">
        <v>251.57297202797204</v>
      </c>
      <c r="H35" s="52">
        <v>260.05232876712324</v>
      </c>
      <c r="I35" s="52">
        <v>259.34157340720219</v>
      </c>
      <c r="J35" s="52">
        <v>262.43089296636083</v>
      </c>
      <c r="K35" s="53">
        <f>AVERAGE(Оценка_фальсификаций[[#This Row],[Ф. дума партии]:[Ф. мособлдума одномандатный]])</f>
        <v>258.34944179216461</v>
      </c>
      <c r="L35" s="52"/>
      <c r="M35" s="66"/>
    </row>
    <row r="36" spans="1:13" s="46" customFormat="1" x14ac:dyDescent="0.4">
      <c r="A36" s="49">
        <v>702</v>
      </c>
      <c r="B36" s="49" t="s">
        <v>317</v>
      </c>
      <c r="C36" s="49" t="s">
        <v>387</v>
      </c>
      <c r="D36" s="50">
        <v>1716</v>
      </c>
      <c r="E36" s="78">
        <v>2017</v>
      </c>
      <c r="F36" s="51"/>
      <c r="G36" s="52">
        <v>246.65349650349651</v>
      </c>
      <c r="H36" s="52">
        <v>273.6834246575342</v>
      </c>
      <c r="I36" s="52">
        <v>278.78525207756229</v>
      </c>
      <c r="J36" s="52">
        <v>227.08390825688068</v>
      </c>
      <c r="K36" s="53">
        <f>AVERAGE(Оценка_фальсификаций[[#This Row],[Ф. дума партии]:[Ф. мособлдума одномандатный]])</f>
        <v>256.55152037386841</v>
      </c>
      <c r="L36" s="52"/>
      <c r="M36" s="66"/>
    </row>
    <row r="37" spans="1:13" x14ac:dyDescent="0.4">
      <c r="A37" s="49">
        <v>3985</v>
      </c>
      <c r="B37" s="49" t="s">
        <v>344</v>
      </c>
      <c r="C37" s="49" t="s">
        <v>387</v>
      </c>
      <c r="D37" s="50">
        <v>1647</v>
      </c>
      <c r="E37" s="78">
        <v>2017</v>
      </c>
      <c r="G37" s="52">
        <v>228.20758741258743</v>
      </c>
      <c r="H37" s="52">
        <v>242.79863013698628</v>
      </c>
      <c r="I37" s="52">
        <v>257.80814958448752</v>
      </c>
      <c r="J37" s="52">
        <v>240.86485626911309</v>
      </c>
      <c r="K37" s="53">
        <f>AVERAGE(Оценка_фальсификаций[[#This Row],[Ф. дума партии]:[Ф. мособлдума одномандатный]])</f>
        <v>242.41980585079358</v>
      </c>
    </row>
    <row r="38" spans="1:13" x14ac:dyDescent="0.4">
      <c r="A38" s="45">
        <v>2069</v>
      </c>
      <c r="B38" s="45" t="s">
        <v>352</v>
      </c>
      <c r="C38" s="45" t="s">
        <v>387</v>
      </c>
      <c r="D38" s="46">
        <v>965</v>
      </c>
      <c r="E38" s="79" t="s">
        <v>455</v>
      </c>
      <c r="F38" s="46"/>
      <c r="G38" s="47">
        <v>248.8455944055944</v>
      </c>
      <c r="H38" s="47">
        <v>214.92986301369859</v>
      </c>
      <c r="I38" s="47">
        <v>260.02196675900279</v>
      </c>
      <c r="J38" s="47">
        <v>231.32173726541552</v>
      </c>
      <c r="K38" s="48">
        <f>AVERAGE(Оценка_фальсификаций[[#This Row],[Ф. дума партии]:[Ф. мособлдума одномандатный]])</f>
        <v>238.77979036092785</v>
      </c>
      <c r="L38" s="47"/>
      <c r="M38" s="65"/>
    </row>
    <row r="39" spans="1:13" x14ac:dyDescent="0.4">
      <c r="A39" s="49">
        <v>3965</v>
      </c>
      <c r="B39" s="49" t="s">
        <v>337</v>
      </c>
      <c r="C39" s="49" t="s">
        <v>387</v>
      </c>
      <c r="D39" s="50">
        <v>1190</v>
      </c>
      <c r="E39" s="78">
        <v>2017</v>
      </c>
      <c r="G39" s="52">
        <v>229.17618881118884</v>
      </c>
      <c r="H39" s="52">
        <v>237.89547945205479</v>
      </c>
      <c r="I39" s="52">
        <v>254.40618282548473</v>
      </c>
      <c r="J39" s="52">
        <v>215.63566360856265</v>
      </c>
      <c r="K39" s="53">
        <f>AVERAGE(Оценка_фальсификаций[[#This Row],[Ф. дума партии]:[Ф. мособлдума одномандатный]])</f>
        <v>234.27837867432277</v>
      </c>
    </row>
    <row r="40" spans="1:13" x14ac:dyDescent="0.4">
      <c r="A40" s="55">
        <v>3946</v>
      </c>
      <c r="B40" s="55" t="s">
        <v>361</v>
      </c>
      <c r="C40" s="55" t="s">
        <v>388</v>
      </c>
      <c r="D40" s="56">
        <v>1312</v>
      </c>
      <c r="E40" s="81">
        <v>2017</v>
      </c>
      <c r="F40" s="56">
        <v>3</v>
      </c>
      <c r="G40" s="57">
        <v>174.44710144927535</v>
      </c>
      <c r="H40" s="57">
        <v>139.22758620689652</v>
      </c>
      <c r="I40" s="57">
        <v>437.60839421613395</v>
      </c>
      <c r="J40" s="57">
        <v>163.20484974093264</v>
      </c>
      <c r="K40" s="58">
        <f>AVERAGE(Оценка_фальсификаций[[#This Row],[Ф. дума партии]:[Ф. мособлдума одномандатный]])</f>
        <v>228.6219829033096</v>
      </c>
      <c r="L40" s="57"/>
      <c r="M40" s="67"/>
    </row>
    <row r="41" spans="1:13" x14ac:dyDescent="0.4">
      <c r="A41" s="49">
        <v>3966</v>
      </c>
      <c r="B41" s="49" t="s">
        <v>338</v>
      </c>
      <c r="C41" s="49" t="s">
        <v>387</v>
      </c>
      <c r="D41" s="50">
        <v>1521</v>
      </c>
      <c r="E41" s="78">
        <v>2017</v>
      </c>
      <c r="G41" s="52">
        <v>222.56590909090914</v>
      </c>
      <c r="H41" s="52">
        <v>221.09671232876713</v>
      </c>
      <c r="I41" s="52">
        <v>236.95629362880885</v>
      </c>
      <c r="J41" s="52">
        <v>214.24168807339444</v>
      </c>
      <c r="K41" s="53">
        <f>AVERAGE(Оценка_фальсификаций[[#This Row],[Ф. дума партии]:[Ф. мособлдума одномандатный]])</f>
        <v>223.71515078046991</v>
      </c>
    </row>
    <row r="42" spans="1:13" x14ac:dyDescent="0.4">
      <c r="A42" s="49">
        <v>3944</v>
      </c>
      <c r="B42" s="49" t="s">
        <v>359</v>
      </c>
      <c r="C42" s="49" t="s">
        <v>388</v>
      </c>
      <c r="D42" s="50">
        <v>1806</v>
      </c>
      <c r="E42" s="78">
        <v>2017</v>
      </c>
      <c r="G42" s="52">
        <v>266.26342657342661</v>
      </c>
      <c r="H42" s="52">
        <v>266.47191780821913</v>
      </c>
      <c r="I42" s="52">
        <v>152.30655955678668</v>
      </c>
      <c r="J42" s="52">
        <v>207.75176146788988</v>
      </c>
      <c r="K42" s="53">
        <f>AVERAGE(Оценка_фальсификаций[[#This Row],[Ф. дума партии]:[Ф. мособлдума одномандатный]])</f>
        <v>223.19841635158056</v>
      </c>
    </row>
    <row r="43" spans="1:13" x14ac:dyDescent="0.4">
      <c r="A43" s="49">
        <v>1969</v>
      </c>
      <c r="B43" s="49" t="s">
        <v>349</v>
      </c>
      <c r="C43" s="49" t="s">
        <v>388</v>
      </c>
      <c r="D43" s="50">
        <v>1451</v>
      </c>
      <c r="E43" s="78">
        <v>2017</v>
      </c>
      <c r="G43" s="52">
        <v>227.22199300699302</v>
      </c>
      <c r="H43" s="52">
        <v>227.49945205479449</v>
      </c>
      <c r="I43" s="52">
        <v>194.97839335180055</v>
      </c>
      <c r="J43" s="52">
        <v>209.04692354740058</v>
      </c>
      <c r="K43" s="53">
        <f>AVERAGE(Оценка_фальсификаций[[#This Row],[Ф. дума партии]:[Ф. мособлдума одномандатный]])</f>
        <v>214.68669049024714</v>
      </c>
    </row>
    <row r="44" spans="1:13" s="46" customFormat="1" x14ac:dyDescent="0.4">
      <c r="A44" s="45">
        <v>2058</v>
      </c>
      <c r="B44" s="45" t="s">
        <v>319</v>
      </c>
      <c r="C44" s="45" t="s">
        <v>387</v>
      </c>
      <c r="D44" s="46">
        <v>2016</v>
      </c>
      <c r="E44" s="79">
        <v>2017</v>
      </c>
      <c r="G44" s="47">
        <v>269.78097902097909</v>
      </c>
      <c r="H44" s="47">
        <v>202.14123287671231</v>
      </c>
      <c r="I44" s="47">
        <v>212.16086426592796</v>
      </c>
      <c r="J44" s="47">
        <v>145.02705093833777</v>
      </c>
      <c r="K44" s="48">
        <f>AVERAGE(Оценка_фальсификаций[[#This Row],[Ф. дума партии]:[Ф. мособлдума одномандатный]])</f>
        <v>207.27753177548928</v>
      </c>
      <c r="L44" s="47"/>
      <c r="M44" s="65"/>
    </row>
    <row r="45" spans="1:13" s="46" customFormat="1" x14ac:dyDescent="0.4">
      <c r="A45" s="49">
        <v>1972</v>
      </c>
      <c r="B45" s="49" t="s">
        <v>349</v>
      </c>
      <c r="C45" s="49" t="s">
        <v>388</v>
      </c>
      <c r="D45" s="50">
        <v>1859</v>
      </c>
      <c r="E45" s="78">
        <v>2017</v>
      </c>
      <c r="F45" s="51"/>
      <c r="G45" s="52">
        <v>240.88437062937066</v>
      </c>
      <c r="H45" s="52">
        <v>207.93739726027397</v>
      </c>
      <c r="I45" s="52">
        <v>202.81137950138501</v>
      </c>
      <c r="J45" s="52">
        <v>171.20842813455653</v>
      </c>
      <c r="K45" s="53">
        <f>AVERAGE(Оценка_фальсификаций[[#This Row],[Ф. дума партии]:[Ф. мособлдума одномандатный]])</f>
        <v>205.71039388139656</v>
      </c>
      <c r="L45" s="52"/>
      <c r="M45" s="66"/>
    </row>
    <row r="46" spans="1:13" s="46" customFormat="1" x14ac:dyDescent="0.4">
      <c r="A46" s="45">
        <v>2061</v>
      </c>
      <c r="B46" s="45" t="s">
        <v>319</v>
      </c>
      <c r="C46" s="45" t="s">
        <v>387</v>
      </c>
      <c r="D46" s="46">
        <v>2212</v>
      </c>
      <c r="E46" s="79">
        <v>2017</v>
      </c>
      <c r="G46" s="47">
        <v>341.12611888111888</v>
      </c>
      <c r="H46" s="59">
        <v>63.471369863013678</v>
      </c>
      <c r="I46" s="47">
        <v>346.67903047091409</v>
      </c>
      <c r="J46" s="59">
        <v>62.824455764075068</v>
      </c>
      <c r="K46" s="48">
        <f>AVERAGE(Оценка_фальсификаций[[#This Row],[Ф. дума партии]:[Ф. мособлдума одномандатный]])</f>
        <v>203.52524374478043</v>
      </c>
      <c r="L46" s="47"/>
      <c r="M46" s="65"/>
    </row>
    <row r="47" spans="1:13" s="46" customFormat="1" x14ac:dyDescent="0.4">
      <c r="A47" s="49">
        <v>1954</v>
      </c>
      <c r="B47" s="49" t="s">
        <v>349</v>
      </c>
      <c r="C47" s="49" t="s">
        <v>388</v>
      </c>
      <c r="D47" s="50">
        <v>2142</v>
      </c>
      <c r="E47" s="78" t="s">
        <v>455</v>
      </c>
      <c r="F47" s="51">
        <v>1</v>
      </c>
      <c r="G47" s="52">
        <v>217.61244755244758</v>
      </c>
      <c r="H47" s="52">
        <v>200.64164383561641</v>
      </c>
      <c r="I47" s="52">
        <v>234.69847091412737</v>
      </c>
      <c r="J47" s="52">
        <v>101.77785932721704</v>
      </c>
      <c r="K47" s="53">
        <f>AVERAGE(Оценка_фальсификаций[[#This Row],[Ф. дума партии]:[Ф. мособлдума одномандатный]])</f>
        <v>188.6826054073521</v>
      </c>
      <c r="L47" s="52"/>
      <c r="M47" s="66"/>
    </row>
    <row r="48" spans="1:13" s="46" customFormat="1" x14ac:dyDescent="0.4">
      <c r="A48" s="49">
        <v>2033</v>
      </c>
      <c r="B48" s="49" t="s">
        <v>355</v>
      </c>
      <c r="C48" s="49" t="s">
        <v>388</v>
      </c>
      <c r="D48" s="50">
        <v>752</v>
      </c>
      <c r="E48" s="78">
        <v>2017</v>
      </c>
      <c r="F48" s="51"/>
      <c r="G48" s="52">
        <v>184.73097902097902</v>
      </c>
      <c r="H48" s="52">
        <v>198.45123287671231</v>
      </c>
      <c r="I48" s="52">
        <v>186.40746814404432</v>
      </c>
      <c r="J48" s="52">
        <v>167.25941896024463</v>
      </c>
      <c r="K48" s="53">
        <f>AVERAGE(Оценка_фальсификаций[[#This Row],[Ф. дума партии]:[Ф. мособлдума одномандатный]])</f>
        <v>184.21227475049506</v>
      </c>
      <c r="L48" s="52"/>
      <c r="M48" s="66"/>
    </row>
    <row r="49" spans="1:13" s="46" customFormat="1" x14ac:dyDescent="0.4">
      <c r="A49" s="45">
        <v>3919</v>
      </c>
      <c r="B49" s="45" t="s">
        <v>323</v>
      </c>
      <c r="C49" s="45" t="s">
        <v>387</v>
      </c>
      <c r="D49" s="46">
        <v>1881</v>
      </c>
      <c r="E49" s="79">
        <v>2017</v>
      </c>
      <c r="G49" s="47">
        <v>160.88979020979025</v>
      </c>
      <c r="H49" s="47">
        <v>162.62958904109587</v>
      </c>
      <c r="I49" s="47">
        <v>181.01171191135731</v>
      </c>
      <c r="J49" s="47">
        <v>211.10179624664877</v>
      </c>
      <c r="K49" s="48">
        <f>AVERAGE(Оценка_фальсификаций[[#This Row],[Ф. дума партии]:[Ф. мособлдума одномандатный]])</f>
        <v>178.90822185222305</v>
      </c>
      <c r="L49" s="47"/>
      <c r="M49" s="65"/>
    </row>
    <row r="50" spans="1:13" s="46" customFormat="1" x14ac:dyDescent="0.4">
      <c r="A50" s="49">
        <v>698</v>
      </c>
      <c r="B50" s="49" t="s">
        <v>317</v>
      </c>
      <c r="C50" s="49" t="s">
        <v>387</v>
      </c>
      <c r="D50" s="50">
        <v>1217</v>
      </c>
      <c r="E50" s="78">
        <v>2017</v>
      </c>
      <c r="F50" s="51"/>
      <c r="G50" s="52">
        <v>153.14947552447552</v>
      </c>
      <c r="H50" s="52">
        <v>188.91452054794519</v>
      </c>
      <c r="I50" s="52">
        <v>194.61957894736841</v>
      </c>
      <c r="J50" s="52">
        <v>177.41250152905195</v>
      </c>
      <c r="K50" s="53">
        <f>AVERAGE(Оценка_фальсификаций[[#This Row],[Ф. дума партии]:[Ф. мособлдума одномандатный]])</f>
        <v>178.52401913721027</v>
      </c>
      <c r="L50" s="52"/>
      <c r="M50" s="66"/>
    </row>
    <row r="51" spans="1:13" s="46" customFormat="1" x14ac:dyDescent="0.4">
      <c r="A51" s="49">
        <v>1955</v>
      </c>
      <c r="B51" s="49" t="s">
        <v>349</v>
      </c>
      <c r="C51" s="49" t="s">
        <v>388</v>
      </c>
      <c r="D51" s="50">
        <v>988</v>
      </c>
      <c r="E51" s="78" t="s">
        <v>455</v>
      </c>
      <c r="F51" s="51"/>
      <c r="G51" s="52">
        <v>166.20010489510491</v>
      </c>
      <c r="H51" s="52">
        <v>168.62794520547942</v>
      </c>
      <c r="I51" s="52">
        <v>191.24807756232684</v>
      </c>
      <c r="J51" s="52">
        <v>183.7118593272171</v>
      </c>
      <c r="K51" s="53">
        <f>AVERAGE(Оценка_фальсификаций[[#This Row],[Ф. дума партии]:[Ф. мособлдума одномандатный]])</f>
        <v>177.44699674753207</v>
      </c>
      <c r="L51" s="52"/>
      <c r="M51" s="66"/>
    </row>
    <row r="52" spans="1:13" s="46" customFormat="1" x14ac:dyDescent="0.4">
      <c r="A52" s="45">
        <v>2059</v>
      </c>
      <c r="B52" s="45" t="s">
        <v>319</v>
      </c>
      <c r="C52" s="45" t="s">
        <v>387</v>
      </c>
      <c r="D52" s="46">
        <v>2330</v>
      </c>
      <c r="E52" s="79">
        <v>2017</v>
      </c>
      <c r="G52" s="47">
        <v>262.17660839160845</v>
      </c>
      <c r="H52" s="47">
        <v>99.259315068493137</v>
      </c>
      <c r="I52" s="47">
        <v>233.68634349030469</v>
      </c>
      <c r="J52" s="47">
        <v>105.5091420911528</v>
      </c>
      <c r="K52" s="48">
        <f>AVERAGE(Оценка_фальсификаций[[#This Row],[Ф. дума партии]:[Ф. мособлдума одномандатный]])</f>
        <v>175.1578522603898</v>
      </c>
      <c r="L52" s="47"/>
      <c r="M52" s="65"/>
    </row>
    <row r="53" spans="1:13" s="46" customFormat="1" x14ac:dyDescent="0.4">
      <c r="A53" s="49">
        <v>1956</v>
      </c>
      <c r="B53" s="49" t="s">
        <v>350</v>
      </c>
      <c r="C53" s="49" t="s">
        <v>388</v>
      </c>
      <c r="D53" s="50">
        <v>290</v>
      </c>
      <c r="E53" s="78" t="s">
        <v>455</v>
      </c>
      <c r="F53" s="51"/>
      <c r="G53" s="52">
        <v>296.27307692307693</v>
      </c>
      <c r="H53" s="52">
        <v>135.40109589041094</v>
      </c>
      <c r="I53" s="52">
        <v>177.83654293628808</v>
      </c>
      <c r="J53" s="52">
        <v>86.825266055045859</v>
      </c>
      <c r="K53" s="53">
        <f>AVERAGE(Оценка_фальсификаций[[#This Row],[Ф. дума партии]:[Ф. мособлдума одномандатный]])</f>
        <v>174.08399545120545</v>
      </c>
      <c r="L53" s="52"/>
      <c r="M53" s="66"/>
    </row>
    <row r="54" spans="1:13" s="46" customFormat="1" x14ac:dyDescent="0.4">
      <c r="A54" s="45">
        <v>3991</v>
      </c>
      <c r="B54" s="45" t="s">
        <v>348</v>
      </c>
      <c r="C54" s="45" t="s">
        <v>387</v>
      </c>
      <c r="D54" s="46">
        <v>1230</v>
      </c>
      <c r="E54" s="79" t="s">
        <v>455</v>
      </c>
      <c r="G54" s="47">
        <v>172.73391608391609</v>
      </c>
      <c r="H54" s="47">
        <v>216.34520547945203</v>
      </c>
      <c r="I54" s="47">
        <v>129.87727423822713</v>
      </c>
      <c r="J54" s="47">
        <v>161.34196782841821</v>
      </c>
      <c r="K54" s="48">
        <f>AVERAGE(Оценка_фальсификаций[[#This Row],[Ф. дума партии]:[Ф. мособлдума одномандатный]])</f>
        <v>170.07459090750336</v>
      </c>
      <c r="L54" s="47"/>
      <c r="M54" s="65"/>
    </row>
    <row r="55" spans="1:13" s="46" customFormat="1" x14ac:dyDescent="0.4">
      <c r="A55" s="45">
        <v>2067</v>
      </c>
      <c r="B55" s="45" t="s">
        <v>319</v>
      </c>
      <c r="C55" s="45" t="s">
        <v>387</v>
      </c>
      <c r="D55" s="46">
        <v>1296</v>
      </c>
      <c r="E55" s="79">
        <v>2017</v>
      </c>
      <c r="G55" s="47">
        <v>131.22849650349653</v>
      </c>
      <c r="H55" s="47">
        <v>171.30698630136985</v>
      </c>
      <c r="I55" s="47">
        <v>182.23709695290859</v>
      </c>
      <c r="J55" s="47">
        <v>189.37529758713137</v>
      </c>
      <c r="K55" s="48">
        <f>AVERAGE(Оценка_фальсификаций[[#This Row],[Ф. дума партии]:[Ф. мособлдума одномандатный]])</f>
        <v>168.53696933622658</v>
      </c>
      <c r="L55" s="47"/>
      <c r="M55" s="65"/>
    </row>
    <row r="56" spans="1:13" x14ac:dyDescent="0.4">
      <c r="A56" s="49">
        <v>3768</v>
      </c>
      <c r="B56" s="49" t="s">
        <v>317</v>
      </c>
      <c r="C56" s="49" t="s">
        <v>387</v>
      </c>
      <c r="D56" s="50">
        <v>1412</v>
      </c>
      <c r="E56" s="78">
        <v>2017</v>
      </c>
      <c r="G56" s="52">
        <v>159.68328671328675</v>
      </c>
      <c r="H56" s="52">
        <v>155.03054794520546</v>
      </c>
      <c r="I56" s="52">
        <v>180.99478670360111</v>
      </c>
      <c r="J56" s="52">
        <v>135.2650336391437</v>
      </c>
      <c r="K56" s="53">
        <f>AVERAGE(Оценка_фальсификаций[[#This Row],[Ф. дума партии]:[Ф. мособлдума одномандатный]])</f>
        <v>157.74341375030926</v>
      </c>
    </row>
    <row r="57" spans="1:13" x14ac:dyDescent="0.4">
      <c r="A57" s="49">
        <v>3940</v>
      </c>
      <c r="B57" s="49" t="s">
        <v>360</v>
      </c>
      <c r="C57" s="49" t="s">
        <v>388</v>
      </c>
      <c r="D57" s="50">
        <v>1715</v>
      </c>
      <c r="E57" s="78">
        <v>2017</v>
      </c>
      <c r="G57" s="52">
        <v>145.87646853146856</v>
      </c>
      <c r="H57" s="52">
        <v>133.85095890410958</v>
      </c>
      <c r="I57" s="52">
        <v>152.59428808864266</v>
      </c>
      <c r="J57" s="52">
        <v>170.07913149847093</v>
      </c>
      <c r="K57" s="53">
        <f>AVERAGE(Оценка_фальсификаций[[#This Row],[Ф. дума партии]:[Ф. мособлдума одномандатный]])</f>
        <v>150.60021175567294</v>
      </c>
    </row>
    <row r="58" spans="1:13" x14ac:dyDescent="0.4">
      <c r="A58" s="49">
        <v>697</v>
      </c>
      <c r="B58" s="49" t="s">
        <v>317</v>
      </c>
      <c r="C58" s="49" t="s">
        <v>387</v>
      </c>
      <c r="D58" s="50">
        <v>2400</v>
      </c>
      <c r="E58" s="78">
        <v>2017</v>
      </c>
      <c r="G58" s="52">
        <v>144.46604895104898</v>
      </c>
      <c r="H58" s="52">
        <v>165.30863013698627</v>
      </c>
      <c r="I58" s="52">
        <v>178.72342382271466</v>
      </c>
      <c r="J58" s="52">
        <v>109.00182874617734</v>
      </c>
      <c r="K58" s="53">
        <f>AVERAGE(Оценка_фальсификаций[[#This Row],[Ф. дума партии]:[Ф. мособлдума одномандатный]])</f>
        <v>149.37498291423179</v>
      </c>
    </row>
    <row r="59" spans="1:13" x14ac:dyDescent="0.4">
      <c r="A59" s="49">
        <v>703</v>
      </c>
      <c r="B59" s="49" t="s">
        <v>317</v>
      </c>
      <c r="C59" s="49" t="s">
        <v>387</v>
      </c>
      <c r="D59" s="50">
        <v>2695</v>
      </c>
      <c r="E59" s="78">
        <v>2017</v>
      </c>
      <c r="G59" s="52">
        <v>216.98370629370629</v>
      </c>
      <c r="H59" s="52">
        <v>211.99808219178081</v>
      </c>
      <c r="I59" s="52">
        <v>27.571163434902985</v>
      </c>
      <c r="J59" s="52">
        <v>133.12995718654429</v>
      </c>
      <c r="K59" s="53">
        <f>AVERAGE(Оценка_фальсификаций[[#This Row],[Ф. дума партии]:[Ф. мособлдума одномандатный]])</f>
        <v>147.4207272767336</v>
      </c>
    </row>
    <row r="60" spans="1:13" x14ac:dyDescent="0.4">
      <c r="A60" s="49">
        <v>2070</v>
      </c>
      <c r="B60" s="49" t="s">
        <v>359</v>
      </c>
      <c r="C60" s="49" t="s">
        <v>388</v>
      </c>
      <c r="D60" s="50">
        <v>1277</v>
      </c>
      <c r="E60" s="78">
        <v>2017</v>
      </c>
      <c r="G60" s="52">
        <v>137.78779720279721</v>
      </c>
      <c r="H60" s="52">
        <v>137.5241095890411</v>
      </c>
      <c r="I60" s="52">
        <v>167.08226592797783</v>
      </c>
      <c r="J60" s="52">
        <v>137.83418348623849</v>
      </c>
      <c r="K60" s="53">
        <f>AVERAGE(Оценка_фальсификаций[[#This Row],[Ф. дума партии]:[Ф. мособлдума одномандатный]])</f>
        <v>145.05708905151363</v>
      </c>
    </row>
    <row r="61" spans="1:13" x14ac:dyDescent="0.4">
      <c r="A61" s="49">
        <v>2004</v>
      </c>
      <c r="B61" s="49" t="s">
        <v>349</v>
      </c>
      <c r="C61" s="49" t="s">
        <v>388</v>
      </c>
      <c r="D61" s="50">
        <v>1035</v>
      </c>
      <c r="E61" s="78">
        <v>2017</v>
      </c>
      <c r="G61" s="52">
        <v>139.53807692307694</v>
      </c>
      <c r="H61" s="52">
        <v>131.12136986301368</v>
      </c>
      <c r="I61" s="52">
        <v>143.84395567867034</v>
      </c>
      <c r="J61" s="52">
        <v>164.24913761467886</v>
      </c>
      <c r="K61" s="53">
        <f>AVERAGE(Оценка_фальсификаций[[#This Row],[Ф. дума партии]:[Ф. мособлдума одномандатный]])</f>
        <v>144.68813501985994</v>
      </c>
    </row>
    <row r="62" spans="1:13" x14ac:dyDescent="0.4">
      <c r="A62" s="49">
        <v>3930</v>
      </c>
      <c r="B62" s="49" t="s">
        <v>325</v>
      </c>
      <c r="C62" s="49" t="s">
        <v>387</v>
      </c>
      <c r="D62" s="50">
        <v>1498</v>
      </c>
      <c r="E62" s="78">
        <v>2017</v>
      </c>
      <c r="F62" s="51">
        <v>1</v>
      </c>
      <c r="G62" s="52">
        <v>138.1786363636364</v>
      </c>
      <c r="H62" s="52">
        <v>153.24452054794517</v>
      </c>
      <c r="I62" s="52">
        <v>135.25610526315788</v>
      </c>
      <c r="J62" s="52">
        <v>122.25694801223237</v>
      </c>
      <c r="K62" s="53">
        <f>AVERAGE(Оценка_фальсификаций[[#This Row],[Ф. дума партии]:[Ф. мособлдума одномандатный]])</f>
        <v>137.23405254674296</v>
      </c>
    </row>
    <row r="63" spans="1:13" x14ac:dyDescent="0.4">
      <c r="A63" s="49">
        <v>216</v>
      </c>
      <c r="B63" s="49" t="s">
        <v>312</v>
      </c>
      <c r="C63" s="49" t="s">
        <v>386</v>
      </c>
      <c r="D63" s="50">
        <v>1863</v>
      </c>
      <c r="E63" s="78" t="s">
        <v>455</v>
      </c>
      <c r="G63" s="52">
        <v>129.02790209790214</v>
      </c>
      <c r="H63" s="52">
        <v>89.250821917808182</v>
      </c>
      <c r="I63" s="52">
        <v>167.78973961218833</v>
      </c>
      <c r="J63" s="52">
        <v>147.98373700305805</v>
      </c>
      <c r="K63" s="53">
        <f>AVERAGE(Оценка_фальсификаций[[#This Row],[Ф. дума партии]:[Ф. мособлдума одномандатный]])</f>
        <v>133.51305015773917</v>
      </c>
    </row>
    <row r="64" spans="1:13" x14ac:dyDescent="0.4">
      <c r="A64" s="49">
        <v>3932</v>
      </c>
      <c r="B64" s="49" t="s">
        <v>353</v>
      </c>
      <c r="C64" s="49" t="s">
        <v>387</v>
      </c>
      <c r="D64" s="50">
        <v>2795</v>
      </c>
      <c r="E64" s="78">
        <v>2017</v>
      </c>
      <c r="G64" s="52">
        <v>135.91856643356647</v>
      </c>
      <c r="H64" s="52">
        <v>119.37739726027395</v>
      </c>
      <c r="I64" s="52">
        <v>139.9071523545706</v>
      </c>
      <c r="J64" s="52">
        <v>108.44423853211003</v>
      </c>
      <c r="K64" s="53">
        <f>AVERAGE(Оценка_фальсификаций[[#This Row],[Ф. дума партии]:[Ф. мособлдума одномандатный]])</f>
        <v>125.91183864513026</v>
      </c>
    </row>
    <row r="65" spans="1:13" x14ac:dyDescent="0.4">
      <c r="A65" s="49">
        <v>3941</v>
      </c>
      <c r="B65" s="49" t="s">
        <v>360</v>
      </c>
      <c r="C65" s="49" t="s">
        <v>388</v>
      </c>
      <c r="D65" s="50">
        <v>1709</v>
      </c>
      <c r="E65" s="78">
        <v>2017</v>
      </c>
      <c r="G65" s="52">
        <v>100.05482517482521</v>
      </c>
      <c r="H65" s="52">
        <v>120.4894520547945</v>
      </c>
      <c r="I65" s="52">
        <v>144.96440443213294</v>
      </c>
      <c r="J65" s="52">
        <v>114.22835474006112</v>
      </c>
      <c r="K65" s="53">
        <f>AVERAGE(Оценка_фальсификаций[[#This Row],[Ф. дума партии]:[Ф. мособлдума одномандатный]])</f>
        <v>119.93425910045343</v>
      </c>
    </row>
    <row r="66" spans="1:13" x14ac:dyDescent="0.4">
      <c r="A66" s="49">
        <v>1959</v>
      </c>
      <c r="B66" s="49" t="s">
        <v>349</v>
      </c>
      <c r="C66" s="49" t="s">
        <v>388</v>
      </c>
      <c r="D66" s="50">
        <v>1743</v>
      </c>
      <c r="E66" s="78">
        <v>2017</v>
      </c>
      <c r="G66" s="52">
        <v>105.82395104895107</v>
      </c>
      <c r="H66" s="52">
        <v>97.389041095890391</v>
      </c>
      <c r="I66" s="52">
        <v>134.8363601108033</v>
      </c>
      <c r="J66" s="52">
        <v>135.79792048929659</v>
      </c>
      <c r="K66" s="53">
        <f>AVERAGE(Оценка_фальсификаций[[#This Row],[Ф. дума партии]:[Ф. мособлдума одномандатный]])</f>
        <v>118.46181818623533</v>
      </c>
    </row>
    <row r="67" spans="1:13" x14ac:dyDescent="0.4">
      <c r="A67" s="49">
        <v>2071</v>
      </c>
      <c r="B67" s="49" t="s">
        <v>359</v>
      </c>
      <c r="C67" s="49" t="s">
        <v>388</v>
      </c>
      <c r="D67" s="50">
        <v>1083</v>
      </c>
      <c r="E67" s="78">
        <v>2017</v>
      </c>
      <c r="G67" s="52">
        <v>117.69356643356645</v>
      </c>
      <c r="H67" s="52">
        <v>115.87273972602739</v>
      </c>
      <c r="I67" s="52">
        <v>125.86261495844875</v>
      </c>
      <c r="J67" s="52">
        <v>101.55552905198775</v>
      </c>
      <c r="K67" s="53">
        <f>AVERAGE(Оценка_фальсификаций[[#This Row],[Ф. дума партии]:[Ф. мособлдума одномандатный]])</f>
        <v>115.24611254250757</v>
      </c>
    </row>
    <row r="68" spans="1:13" x14ac:dyDescent="0.4">
      <c r="A68" s="45">
        <v>3925</v>
      </c>
      <c r="B68" s="45" t="s">
        <v>324</v>
      </c>
      <c r="C68" s="45" t="s">
        <v>387</v>
      </c>
      <c r="D68" s="46">
        <v>525</v>
      </c>
      <c r="E68" s="79" t="s">
        <v>455</v>
      </c>
      <c r="F68" s="46"/>
      <c r="G68" s="47">
        <v>99.53653846153847</v>
      </c>
      <c r="H68" s="47">
        <v>122.2249315068493</v>
      </c>
      <c r="I68" s="47">
        <v>114.28238781163434</v>
      </c>
      <c r="J68" s="47">
        <v>116.78995174262734</v>
      </c>
      <c r="K68" s="48">
        <f>AVERAGE(Оценка_фальсификаций[[#This Row],[Ф. дума партии]:[Ф. мособлдума одномандатный]])</f>
        <v>113.20845238066237</v>
      </c>
      <c r="L68" s="47"/>
      <c r="M68" s="65"/>
    </row>
    <row r="69" spans="1:13" x14ac:dyDescent="0.4">
      <c r="A69" s="45">
        <v>3916</v>
      </c>
      <c r="B69" s="45" t="s">
        <v>322</v>
      </c>
      <c r="C69" s="45" t="s">
        <v>387</v>
      </c>
      <c r="D69" s="46">
        <v>1548</v>
      </c>
      <c r="E69" s="79">
        <v>2017</v>
      </c>
      <c r="F69" s="46"/>
      <c r="G69" s="47">
        <v>108.87419580419584</v>
      </c>
      <c r="H69" s="47">
        <v>78.416712328767105</v>
      </c>
      <c r="I69" s="47">
        <v>126.0217119113573</v>
      </c>
      <c r="J69" s="47">
        <v>129.44704021447723</v>
      </c>
      <c r="K69" s="48">
        <f>AVERAGE(Оценка_фальсификаций[[#This Row],[Ф. дума партии]:[Ф. мособлдума одномандатный]])</f>
        <v>110.68991506469938</v>
      </c>
      <c r="L69" s="47"/>
      <c r="M69" s="65"/>
    </row>
    <row r="70" spans="1:13" x14ac:dyDescent="0.4">
      <c r="A70" s="49">
        <v>3969</v>
      </c>
      <c r="B70" s="49" t="s">
        <v>340</v>
      </c>
      <c r="C70" s="49" t="s">
        <v>387</v>
      </c>
      <c r="D70" s="50">
        <v>1525</v>
      </c>
      <c r="E70" s="78">
        <v>2017</v>
      </c>
      <c r="G70" s="52">
        <v>116.95437062937066</v>
      </c>
      <c r="H70" s="52">
        <v>115.31671232876711</v>
      </c>
      <c r="I70" s="52">
        <v>119.32948476454291</v>
      </c>
      <c r="J70" s="52">
        <v>76.749822629969373</v>
      </c>
      <c r="K70" s="53">
        <f>AVERAGE(Оценка_фальсификаций[[#This Row],[Ф. дума партии]:[Ф. мособлдума одномандатный]])</f>
        <v>107.08759758816251</v>
      </c>
    </row>
    <row r="71" spans="1:13" x14ac:dyDescent="0.4">
      <c r="A71" s="49">
        <v>3952</v>
      </c>
      <c r="B71" s="49" t="s">
        <v>328</v>
      </c>
      <c r="C71" s="49" t="s">
        <v>387</v>
      </c>
      <c r="D71" s="50">
        <v>711</v>
      </c>
      <c r="E71" s="78">
        <v>2017</v>
      </c>
      <c r="G71" s="52">
        <v>98.865314685314701</v>
      </c>
      <c r="H71" s="52">
        <v>102.34273972602739</v>
      </c>
      <c r="I71" s="52">
        <v>130.72353462603877</v>
      </c>
      <c r="J71" s="52">
        <v>89.157969418960221</v>
      </c>
      <c r="K71" s="53">
        <f>AVERAGE(Оценка_фальсификаций[[#This Row],[Ф. дума партии]:[Ф. мособлдума одномандатный]])</f>
        <v>105.27238961408526</v>
      </c>
    </row>
    <row r="72" spans="1:13" x14ac:dyDescent="0.4">
      <c r="A72" s="49">
        <v>1978</v>
      </c>
      <c r="B72" s="49" t="s">
        <v>349</v>
      </c>
      <c r="C72" s="49" t="s">
        <v>388</v>
      </c>
      <c r="D72" s="50">
        <v>2430</v>
      </c>
      <c r="E72" s="78" t="s">
        <v>455</v>
      </c>
      <c r="G72" s="52">
        <v>115.75636363636366</v>
      </c>
      <c r="H72" s="52">
        <v>72.350958904109575</v>
      </c>
      <c r="I72" s="52">
        <v>92.553806094182775</v>
      </c>
      <c r="J72" s="52">
        <v>129.37857492354738</v>
      </c>
      <c r="K72" s="53">
        <f>AVERAGE(Оценка_фальсификаций[[#This Row],[Ф. дума партии]:[Ф. мособлдума одномандатный]])</f>
        <v>102.50992588955084</v>
      </c>
    </row>
    <row r="73" spans="1:13" x14ac:dyDescent="0.4">
      <c r="A73" s="49">
        <v>1987</v>
      </c>
      <c r="B73" s="49" t="s">
        <v>349</v>
      </c>
      <c r="C73" s="49" t="s">
        <v>388</v>
      </c>
      <c r="D73" s="50">
        <v>2060</v>
      </c>
      <c r="E73" s="78">
        <v>2017</v>
      </c>
      <c r="F73" s="51">
        <v>2</v>
      </c>
      <c r="G73" s="52">
        <v>96.851643356643407</v>
      </c>
      <c r="H73" s="52">
        <v>88.863287671232854</v>
      </c>
      <c r="I73" s="52">
        <v>117.91792243767311</v>
      </c>
      <c r="J73" s="52">
        <v>99.346342507645232</v>
      </c>
      <c r="K73" s="53">
        <f>AVERAGE(Оценка_фальсификаций[[#This Row],[Ф. дума партии]:[Ф. мособлдума одномандатный]])</f>
        <v>100.74479899329864</v>
      </c>
    </row>
    <row r="74" spans="1:13" x14ac:dyDescent="0.4">
      <c r="A74" s="49">
        <v>3933</v>
      </c>
      <c r="B74" s="49" t="s">
        <v>353</v>
      </c>
      <c r="C74" s="49" t="s">
        <v>387</v>
      </c>
      <c r="D74" s="50">
        <v>2603</v>
      </c>
      <c r="E74" s="78">
        <v>2017</v>
      </c>
      <c r="G74" s="52">
        <v>93.002727272727299</v>
      </c>
      <c r="H74" s="52">
        <v>80.489178082191756</v>
      </c>
      <c r="I74" s="52">
        <v>113.22963988919663</v>
      </c>
      <c r="J74" s="52">
        <v>114.39069113149841</v>
      </c>
      <c r="K74" s="53">
        <f>AVERAGE(Оценка_фальсификаций[[#This Row],[Ф. дума партии]:[Ф. мособлдума одномандатный]])</f>
        <v>100.27805909390352</v>
      </c>
    </row>
    <row r="75" spans="1:13" x14ac:dyDescent="0.4">
      <c r="A75" s="49">
        <v>1983</v>
      </c>
      <c r="B75" s="49" t="s">
        <v>349</v>
      </c>
      <c r="C75" s="49" t="s">
        <v>388</v>
      </c>
      <c r="D75" s="50">
        <v>1997</v>
      </c>
      <c r="E75" s="78">
        <v>2017</v>
      </c>
      <c r="F75" s="51">
        <v>1</v>
      </c>
      <c r="G75" s="52">
        <v>118.7726223776224</v>
      </c>
      <c r="H75" s="52">
        <v>92.873424657534215</v>
      </c>
      <c r="I75" s="52">
        <v>101.68664819944595</v>
      </c>
      <c r="J75" s="52">
        <v>86.906434250764491</v>
      </c>
      <c r="K75" s="53">
        <f>AVERAGE(Оценка_фальсификаций[[#This Row],[Ф. дума партии]:[Ф. мособлдума одномандатный]])</f>
        <v>100.05978237134177</v>
      </c>
    </row>
    <row r="76" spans="1:13" x14ac:dyDescent="0.4">
      <c r="A76" s="49">
        <v>693</v>
      </c>
      <c r="B76" s="49" t="s">
        <v>317</v>
      </c>
      <c r="C76" s="49" t="s">
        <v>387</v>
      </c>
      <c r="D76" s="50">
        <v>2353</v>
      </c>
      <c r="E76" s="78">
        <v>2017</v>
      </c>
      <c r="G76" s="52">
        <v>125.33192307692312</v>
      </c>
      <c r="H76" s="52">
        <v>117.30493150684929</v>
      </c>
      <c r="I76" s="52">
        <v>113.56475900277006</v>
      </c>
      <c r="J76" s="52">
        <v>41.540470948012171</v>
      </c>
      <c r="K76" s="53">
        <f>AVERAGE(Оценка_фальсификаций[[#This Row],[Ф. дума партии]:[Ф. мособлдума одномандатный]])</f>
        <v>99.435521133638659</v>
      </c>
    </row>
    <row r="77" spans="1:13" x14ac:dyDescent="0.4">
      <c r="A77" s="45">
        <v>3914</v>
      </c>
      <c r="B77" s="45" t="s">
        <v>322</v>
      </c>
      <c r="C77" s="45" t="s">
        <v>387</v>
      </c>
      <c r="D77" s="46">
        <v>437</v>
      </c>
      <c r="E77" s="79" t="s">
        <v>455</v>
      </c>
      <c r="F77" s="46"/>
      <c r="G77" s="47">
        <v>124.63520979020981</v>
      </c>
      <c r="H77" s="47">
        <v>38.197397260273974</v>
      </c>
      <c r="I77" s="47">
        <v>107.1805706371191</v>
      </c>
      <c r="J77" s="47">
        <v>127.16215013404826</v>
      </c>
      <c r="K77" s="48">
        <f>AVERAGE(Оценка_фальсификаций[[#This Row],[Ф. дума партии]:[Ф. мособлдума одномандатный]])</f>
        <v>99.293831955412784</v>
      </c>
      <c r="L77" s="47"/>
      <c r="M77" s="65"/>
    </row>
    <row r="78" spans="1:13" x14ac:dyDescent="0.4">
      <c r="A78" s="49">
        <v>3953</v>
      </c>
      <c r="B78" s="49" t="s">
        <v>118</v>
      </c>
      <c r="C78" s="49" t="s">
        <v>387</v>
      </c>
      <c r="D78" s="50">
        <v>676</v>
      </c>
      <c r="E78" s="78">
        <v>2017</v>
      </c>
      <c r="G78" s="52">
        <v>97.820244755244772</v>
      </c>
      <c r="H78" s="52">
        <v>91.13794520547944</v>
      </c>
      <c r="I78" s="52">
        <v>103.68382271468143</v>
      </c>
      <c r="J78" s="52">
        <v>86.687633027522907</v>
      </c>
      <c r="K78" s="53">
        <f>AVERAGE(Оценка_фальсификаций[[#This Row],[Ф. дума партии]:[Ф. мособлдума одномандатный]])</f>
        <v>94.832411425732133</v>
      </c>
    </row>
    <row r="79" spans="1:13" x14ac:dyDescent="0.4">
      <c r="A79" s="49">
        <v>2002</v>
      </c>
      <c r="B79" s="49" t="s">
        <v>349</v>
      </c>
      <c r="C79" s="49" t="s">
        <v>388</v>
      </c>
      <c r="D79" s="50">
        <v>2112</v>
      </c>
      <c r="E79" s="78">
        <v>2017</v>
      </c>
      <c r="G79" s="52">
        <v>94.285699300699335</v>
      </c>
      <c r="H79" s="52">
        <v>81.399041095890368</v>
      </c>
      <c r="I79" s="52">
        <v>113.74078116343486</v>
      </c>
      <c r="J79" s="52">
        <v>84.923107033639099</v>
      </c>
      <c r="K79" s="53">
        <f>AVERAGE(Оценка_фальсификаций[[#This Row],[Ф. дума партии]:[Ф. мособлдума одномандатный]])</f>
        <v>93.587157148415912</v>
      </c>
    </row>
    <row r="80" spans="1:13" x14ac:dyDescent="0.4">
      <c r="A80" s="49">
        <v>1967</v>
      </c>
      <c r="B80" s="49" t="s">
        <v>349</v>
      </c>
      <c r="C80" s="49" t="s">
        <v>388</v>
      </c>
      <c r="D80" s="50">
        <v>2569</v>
      </c>
      <c r="E80" s="78">
        <v>2017</v>
      </c>
      <c r="G80" s="52">
        <v>103.59786713286718</v>
      </c>
      <c r="H80" s="52">
        <v>75.653424657534217</v>
      </c>
      <c r="I80" s="52">
        <v>88.129556786703574</v>
      </c>
      <c r="J80" s="52">
        <v>68.728287461773647</v>
      </c>
      <c r="K80" s="53">
        <f>AVERAGE(Оценка_фальсификаций[[#This Row],[Ф. дума партии]:[Ф. мособлдума одномандатный]])</f>
        <v>84.027284009719665</v>
      </c>
    </row>
    <row r="81" spans="1:13" x14ac:dyDescent="0.4">
      <c r="A81" s="49">
        <v>3769</v>
      </c>
      <c r="B81" s="49" t="s">
        <v>317</v>
      </c>
      <c r="C81" s="49" t="s">
        <v>387</v>
      </c>
      <c r="D81" s="50">
        <v>2036</v>
      </c>
      <c r="E81" s="78">
        <v>2017</v>
      </c>
      <c r="F81" s="51">
        <v>1</v>
      </c>
      <c r="G81" s="52">
        <v>118.98503496503498</v>
      </c>
      <c r="H81" s="52">
        <v>85.611369863013692</v>
      </c>
      <c r="I81" s="52">
        <v>72.463584487534604</v>
      </c>
      <c r="J81" s="52">
        <v>56.023700305810351</v>
      </c>
      <c r="K81" s="53">
        <f>AVERAGE(Оценка_фальсификаций[[#This Row],[Ф. дума партии]:[Ф. мособлдума одномандатный]])</f>
        <v>83.270922405348401</v>
      </c>
    </row>
    <row r="82" spans="1:13" x14ac:dyDescent="0.4">
      <c r="A82" s="45">
        <v>2068</v>
      </c>
      <c r="B82" s="45" t="s">
        <v>319</v>
      </c>
      <c r="C82" s="45" t="s">
        <v>387</v>
      </c>
      <c r="D82" s="46">
        <v>571</v>
      </c>
      <c r="E82" s="79">
        <v>2017</v>
      </c>
      <c r="F82" s="46"/>
      <c r="G82" s="47">
        <v>126.86979020979024</v>
      </c>
      <c r="H82" s="47">
        <v>73.783150684931499</v>
      </c>
      <c r="I82" s="47">
        <v>82.561163434903051</v>
      </c>
      <c r="J82" s="47">
        <v>44.338225201072376</v>
      </c>
      <c r="K82" s="48">
        <f>AVERAGE(Оценка_фальсификаций[[#This Row],[Ф. дума партии]:[Ф. мособлдума одномандатный]])</f>
        <v>81.888082382674284</v>
      </c>
      <c r="L82" s="47"/>
      <c r="M82" s="65"/>
    </row>
    <row r="83" spans="1:13" x14ac:dyDescent="0.4">
      <c r="A83" s="49">
        <v>1966</v>
      </c>
      <c r="B83" s="49" t="s">
        <v>349</v>
      </c>
      <c r="C83" s="49" t="s">
        <v>388</v>
      </c>
      <c r="D83" s="50">
        <v>1805</v>
      </c>
      <c r="E83" s="78">
        <v>2017</v>
      </c>
      <c r="G83" s="52">
        <v>67.402762237762275</v>
      </c>
      <c r="H83" s="52">
        <v>80.65767123287668</v>
      </c>
      <c r="I83" s="52">
        <v>88.7794847645429</v>
      </c>
      <c r="J83" s="52">
        <v>77.829712538226246</v>
      </c>
      <c r="K83" s="53">
        <f>AVERAGE(Оценка_фальсификаций[[#This Row],[Ф. дума партии]:[Ф. мособлдума одномандатный]])</f>
        <v>78.667407693352018</v>
      </c>
    </row>
    <row r="84" spans="1:13" x14ac:dyDescent="0.4">
      <c r="A84" s="49">
        <v>3979</v>
      </c>
      <c r="B84" s="49" t="s">
        <v>342</v>
      </c>
      <c r="C84" s="49" t="s">
        <v>387</v>
      </c>
      <c r="D84" s="50">
        <v>1800</v>
      </c>
      <c r="E84" s="78">
        <v>2017</v>
      </c>
      <c r="G84" s="52">
        <v>90.572727272727292</v>
      </c>
      <c r="H84" s="52">
        <v>60.977671232876702</v>
      </c>
      <c r="I84" s="52">
        <v>97.936022160664791</v>
      </c>
      <c r="J84" s="52">
        <v>61.109064220183441</v>
      </c>
      <c r="K84" s="53">
        <f>AVERAGE(Оценка_фальсификаций[[#This Row],[Ф. дума партии]:[Ф. мособлдума одномандатный]])</f>
        <v>77.648871221613049</v>
      </c>
    </row>
    <row r="85" spans="1:13" x14ac:dyDescent="0.4">
      <c r="A85" s="49">
        <v>1964</v>
      </c>
      <c r="B85" s="49" t="s">
        <v>349</v>
      </c>
      <c r="C85" s="49" t="s">
        <v>388</v>
      </c>
      <c r="D85" s="50">
        <v>1279</v>
      </c>
      <c r="E85" s="78">
        <v>2017</v>
      </c>
      <c r="G85" s="52">
        <v>71.973881118881138</v>
      </c>
      <c r="H85" s="52">
        <v>45.021369863013689</v>
      </c>
      <c r="I85" s="52">
        <v>88.762559556786684</v>
      </c>
      <c r="J85" s="52">
        <v>95.545553516819552</v>
      </c>
      <c r="K85" s="53">
        <f>AVERAGE(Оценка_фальсификаций[[#This Row],[Ф. дума партии]:[Ф. мособлдума одномандатный]])</f>
        <v>75.325841013875262</v>
      </c>
    </row>
    <row r="86" spans="1:13" x14ac:dyDescent="0.4">
      <c r="A86" s="49">
        <v>696</v>
      </c>
      <c r="B86" s="49" t="s">
        <v>317</v>
      </c>
      <c r="C86" s="49" t="s">
        <v>387</v>
      </c>
      <c r="D86" s="50">
        <v>1099</v>
      </c>
      <c r="E86" s="78">
        <v>2017</v>
      </c>
      <c r="G86" s="52">
        <v>67.445244755244786</v>
      </c>
      <c r="H86" s="52">
        <v>99.798493150684919</v>
      </c>
      <c r="I86" s="52">
        <v>96.263811634348997</v>
      </c>
      <c r="J86" s="52">
        <v>37.20326605504583</v>
      </c>
      <c r="K86" s="53">
        <f>AVERAGE(Оценка_фальсификаций[[#This Row],[Ф. дума партии]:[Ф. мособлдума одномандатный]])</f>
        <v>75.17770389883114</v>
      </c>
    </row>
    <row r="87" spans="1:13" x14ac:dyDescent="0.4">
      <c r="A87" s="49">
        <v>2056</v>
      </c>
      <c r="B87" s="49" t="s">
        <v>318</v>
      </c>
      <c r="C87" s="49" t="s">
        <v>387</v>
      </c>
      <c r="D87" s="50">
        <v>2112</v>
      </c>
      <c r="E87" s="78">
        <v>2017</v>
      </c>
      <c r="G87" s="52">
        <v>78.635139860139887</v>
      </c>
      <c r="H87" s="52">
        <v>78.214520547945185</v>
      </c>
      <c r="I87" s="52">
        <v>84.433091412742343</v>
      </c>
      <c r="J87" s="52">
        <v>56.39425076452595</v>
      </c>
      <c r="K87" s="53">
        <f>AVERAGE(Оценка_фальсификаций[[#This Row],[Ф. дума партии]:[Ф. мособлдума одномандатный]])</f>
        <v>74.419250646338341</v>
      </c>
    </row>
    <row r="88" spans="1:13" x14ac:dyDescent="0.4">
      <c r="A88" s="49">
        <v>2025</v>
      </c>
      <c r="B88" s="49" t="s">
        <v>349</v>
      </c>
      <c r="C88" s="49" t="s">
        <v>388</v>
      </c>
      <c r="D88" s="50">
        <v>2226</v>
      </c>
      <c r="E88" s="78">
        <v>2017</v>
      </c>
      <c r="G88" s="52">
        <v>57.86968531468537</v>
      </c>
      <c r="H88" s="52">
        <v>103.0167123287671</v>
      </c>
      <c r="I88" s="52">
        <v>64.84047091412738</v>
      </c>
      <c r="J88" s="52">
        <v>63.332366972477018</v>
      </c>
      <c r="K88" s="53">
        <f>AVERAGE(Оценка_фальсификаций[[#This Row],[Ф. дума партии]:[Ф. мособлдума одномандатный]])</f>
        <v>72.264808882514217</v>
      </c>
    </row>
    <row r="89" spans="1:13" x14ac:dyDescent="0.4">
      <c r="A89" s="49">
        <v>1989</v>
      </c>
      <c r="B89" s="49" t="s">
        <v>349</v>
      </c>
      <c r="C89" s="49" t="s">
        <v>388</v>
      </c>
      <c r="D89" s="50">
        <v>1748</v>
      </c>
      <c r="E89" s="78">
        <v>2017</v>
      </c>
      <c r="G89" s="52">
        <v>38.913986013986033</v>
      </c>
      <c r="H89" s="52">
        <v>54.355890410958892</v>
      </c>
      <c r="I89" s="52">
        <v>85.127024930747908</v>
      </c>
      <c r="J89" s="52">
        <v>100.48622629969415</v>
      </c>
      <c r="K89" s="53">
        <f>AVERAGE(Оценка_фальсификаций[[#This Row],[Ф. дума партии]:[Ф. мособлдума одномандатный]])</f>
        <v>69.720781913846736</v>
      </c>
    </row>
    <row r="90" spans="1:13" x14ac:dyDescent="0.4">
      <c r="A90" s="49">
        <v>1970</v>
      </c>
      <c r="B90" s="49" t="s">
        <v>349</v>
      </c>
      <c r="C90" s="49" t="s">
        <v>388</v>
      </c>
      <c r="D90" s="50">
        <v>1203</v>
      </c>
      <c r="E90" s="78">
        <v>2017</v>
      </c>
      <c r="G90" s="52">
        <v>59.518006993007006</v>
      </c>
      <c r="H90" s="52">
        <v>57.018082191780806</v>
      </c>
      <c r="I90" s="52">
        <v>64.434265927977833</v>
      </c>
      <c r="J90" s="52">
        <v>86.232385321100878</v>
      </c>
      <c r="K90" s="53">
        <f>AVERAGE(Оценка_фальсификаций[[#This Row],[Ф. дума партии]:[Ф. мособлдума одномандатный]])</f>
        <v>66.800685108466638</v>
      </c>
    </row>
    <row r="91" spans="1:13" x14ac:dyDescent="0.4">
      <c r="A91" s="49">
        <v>3977</v>
      </c>
      <c r="B91" s="49" t="s">
        <v>341</v>
      </c>
      <c r="C91" s="49" t="s">
        <v>387</v>
      </c>
      <c r="D91" s="50">
        <v>1529</v>
      </c>
      <c r="E91" s="78">
        <v>2017</v>
      </c>
      <c r="G91" s="52">
        <v>88.949895104895148</v>
      </c>
      <c r="H91" s="52">
        <v>77.843835616438341</v>
      </c>
      <c r="I91" s="52">
        <v>39.161545706371157</v>
      </c>
      <c r="J91" s="52">
        <v>59.143382262996894</v>
      </c>
      <c r="K91" s="53">
        <f>AVERAGE(Оценка_фальсификаций[[#This Row],[Ф. дума партии]:[Ф. мособлдума одномандатный]])</f>
        <v>66.274664672675385</v>
      </c>
    </row>
    <row r="92" spans="1:13" x14ac:dyDescent="0.4">
      <c r="A92" s="49">
        <v>2054</v>
      </c>
      <c r="B92" s="49" t="s">
        <v>318</v>
      </c>
      <c r="C92" s="49" t="s">
        <v>387</v>
      </c>
      <c r="D92" s="50">
        <v>2269</v>
      </c>
      <c r="E92" s="78">
        <v>2017</v>
      </c>
      <c r="G92" s="52">
        <v>72.959475524475565</v>
      </c>
      <c r="H92" s="52">
        <v>51.491506849315059</v>
      </c>
      <c r="I92" s="52">
        <v>85.40798337950136</v>
      </c>
      <c r="J92" s="52">
        <v>54.74265443425071</v>
      </c>
      <c r="K92" s="53">
        <f>AVERAGE(Оценка_фальсификаций[[#This Row],[Ф. дума партии]:[Ф. мособлдума одномандатный]])</f>
        <v>66.15040504688568</v>
      </c>
    </row>
    <row r="93" spans="1:13" x14ac:dyDescent="0.4">
      <c r="A93" s="49">
        <v>3957</v>
      </c>
      <c r="B93" s="49" t="s">
        <v>331</v>
      </c>
      <c r="C93" s="49" t="s">
        <v>387</v>
      </c>
      <c r="D93" s="50">
        <v>1238</v>
      </c>
      <c r="E93" s="78">
        <v>2017</v>
      </c>
      <c r="G93" s="52">
        <v>81.6089160839161</v>
      </c>
      <c r="H93" s="52">
        <v>68.576712328767115</v>
      </c>
      <c r="I93" s="52">
        <v>66.786869806094174</v>
      </c>
      <c r="J93" s="52">
        <v>44.420177370030544</v>
      </c>
      <c r="K93" s="53">
        <f>AVERAGE(Оценка_фальсификаций[[#This Row],[Ф. дума партии]:[Ф. мособлдума одномандатный]])</f>
        <v>65.348168897201987</v>
      </c>
    </row>
    <row r="94" spans="1:13" x14ac:dyDescent="0.4">
      <c r="A94" s="49">
        <v>3968</v>
      </c>
      <c r="B94" s="49" t="s">
        <v>339</v>
      </c>
      <c r="C94" s="49" t="s">
        <v>387</v>
      </c>
      <c r="D94" s="50">
        <v>710</v>
      </c>
      <c r="E94" s="78">
        <v>2017</v>
      </c>
      <c r="G94" s="52">
        <v>67.360279720279721</v>
      </c>
      <c r="H94" s="52">
        <v>47.211780821917799</v>
      </c>
      <c r="I94" s="52">
        <v>76.623800554016611</v>
      </c>
      <c r="J94" s="52">
        <v>37.400892966360843</v>
      </c>
      <c r="K94" s="53">
        <f>AVERAGE(Оценка_фальсификаций[[#This Row],[Ф. дума партии]:[Ф. мособлдума одномандатный]])</f>
        <v>57.149188515643743</v>
      </c>
    </row>
    <row r="95" spans="1:13" s="46" customFormat="1" x14ac:dyDescent="0.4">
      <c r="A95" s="45">
        <v>2063</v>
      </c>
      <c r="B95" s="45" t="s">
        <v>319</v>
      </c>
      <c r="C95" s="45" t="s">
        <v>387</v>
      </c>
      <c r="D95" s="46">
        <v>1758</v>
      </c>
      <c r="E95" s="79">
        <v>2017</v>
      </c>
      <c r="F95" s="46">
        <v>1</v>
      </c>
      <c r="G95" s="47">
        <v>58.761818181818214</v>
      </c>
      <c r="H95" s="47">
        <v>49.031506849315051</v>
      </c>
      <c r="I95" s="47">
        <v>74.633396121883621</v>
      </c>
      <c r="J95" s="47">
        <v>45.200069705093838</v>
      </c>
      <c r="K95" s="48">
        <f>AVERAGE(Оценка_фальсификаций[[#This Row],[Ф. дума партии]:[Ф. мособлдума одномандатный]])</f>
        <v>56.906697714527681</v>
      </c>
      <c r="L95" s="47"/>
      <c r="M95" s="65"/>
    </row>
    <row r="96" spans="1:13" s="46" customFormat="1" x14ac:dyDescent="0.4">
      <c r="A96" s="49">
        <v>3766</v>
      </c>
      <c r="B96" s="49" t="s">
        <v>317</v>
      </c>
      <c r="C96" s="49" t="s">
        <v>387</v>
      </c>
      <c r="D96" s="50">
        <v>857</v>
      </c>
      <c r="E96" s="78">
        <v>2017</v>
      </c>
      <c r="F96" s="51"/>
      <c r="G96" s="52">
        <v>62.304860139860153</v>
      </c>
      <c r="H96" s="52">
        <v>62.527808219178077</v>
      </c>
      <c r="I96" s="52">
        <v>55.920886426592787</v>
      </c>
      <c r="J96" s="52">
        <v>44.466055045871535</v>
      </c>
      <c r="K96" s="53">
        <f>AVERAGE(Оценка_фальсификаций[[#This Row],[Ф. дума партии]:[Ф. мособлдума одномандатный]])</f>
        <v>56.304902457875642</v>
      </c>
      <c r="L96" s="52"/>
      <c r="M96" s="66"/>
    </row>
    <row r="97" spans="1:13" s="46" customFormat="1" x14ac:dyDescent="0.4">
      <c r="A97" s="49">
        <v>3954</v>
      </c>
      <c r="B97" s="49" t="s">
        <v>329</v>
      </c>
      <c r="C97" s="49" t="s">
        <v>387</v>
      </c>
      <c r="D97" s="50">
        <v>1850</v>
      </c>
      <c r="E97" s="78">
        <v>2017</v>
      </c>
      <c r="F97" s="51"/>
      <c r="G97" s="52">
        <v>72.126818181818223</v>
      </c>
      <c r="H97" s="52">
        <v>47.093835616438341</v>
      </c>
      <c r="I97" s="52">
        <v>67.964864265927943</v>
      </c>
      <c r="J97" s="52">
        <v>35.205822629969362</v>
      </c>
      <c r="K97" s="53">
        <f>AVERAGE(Оценка_фальсификаций[[#This Row],[Ф. дума партии]:[Ф. мособлдума одномандатный]])</f>
        <v>55.597835173538471</v>
      </c>
      <c r="L97" s="52"/>
      <c r="M97" s="66"/>
    </row>
    <row r="98" spans="1:13" s="46" customFormat="1" x14ac:dyDescent="0.4">
      <c r="A98" s="49">
        <v>2017</v>
      </c>
      <c r="B98" s="49" t="s">
        <v>349</v>
      </c>
      <c r="C98" s="49" t="s">
        <v>388</v>
      </c>
      <c r="D98" s="50">
        <v>2109</v>
      </c>
      <c r="E98" s="78">
        <v>2017</v>
      </c>
      <c r="F98" s="51"/>
      <c r="G98" s="52">
        <v>46.7902447552448</v>
      </c>
      <c r="H98" s="52">
        <v>52.317123287671208</v>
      </c>
      <c r="I98" s="52">
        <v>65.077423822714664</v>
      </c>
      <c r="J98" s="52">
        <v>52.642868501529009</v>
      </c>
      <c r="K98" s="53">
        <f>AVERAGE(Оценка_фальсификаций[[#This Row],[Ф. дума партии]:[Ф. мособлдума одномандатный]])</f>
        <v>54.206915091789924</v>
      </c>
      <c r="L98" s="52"/>
      <c r="M98" s="66"/>
    </row>
    <row r="99" spans="1:13" x14ac:dyDescent="0.4">
      <c r="A99" s="49">
        <v>3926</v>
      </c>
      <c r="B99" s="49" t="s">
        <v>325</v>
      </c>
      <c r="C99" s="49" t="s">
        <v>387</v>
      </c>
      <c r="D99" s="50">
        <v>1782</v>
      </c>
      <c r="E99" s="78">
        <v>2017</v>
      </c>
      <c r="G99" s="52">
        <v>52.941713286713295</v>
      </c>
      <c r="H99" s="52">
        <v>57.405616438356148</v>
      </c>
      <c r="I99" s="52">
        <v>59.590271468144039</v>
      </c>
      <c r="J99" s="52">
        <v>38.900740061162054</v>
      </c>
      <c r="K99" s="53">
        <f>AVERAGE(Оценка_фальсификаций[[#This Row],[Ф. дума партии]:[Ф. мособлдума одномандатный]])</f>
        <v>52.209585313593884</v>
      </c>
    </row>
    <row r="100" spans="1:13" x14ac:dyDescent="0.4">
      <c r="A100" s="49">
        <v>2034</v>
      </c>
      <c r="B100" s="49" t="s">
        <v>349</v>
      </c>
      <c r="C100" s="49" t="s">
        <v>388</v>
      </c>
      <c r="D100" s="50">
        <v>793</v>
      </c>
      <c r="E100" s="78">
        <v>2017</v>
      </c>
      <c r="G100" s="52">
        <v>55.796538461538475</v>
      </c>
      <c r="H100" s="52">
        <v>61.179863013698615</v>
      </c>
      <c r="I100" s="52">
        <v>49.888742382271445</v>
      </c>
      <c r="J100" s="52">
        <v>37.556171253822612</v>
      </c>
      <c r="K100" s="53">
        <f>AVERAGE(Оценка_фальсификаций[[#This Row],[Ф. дума партии]:[Ф. мособлдума одномандатный]])</f>
        <v>51.105328777832788</v>
      </c>
    </row>
    <row r="101" spans="1:13" x14ac:dyDescent="0.4">
      <c r="A101" s="49">
        <v>3975</v>
      </c>
      <c r="B101" s="49" t="s">
        <v>341</v>
      </c>
      <c r="C101" s="49" t="s">
        <v>387</v>
      </c>
      <c r="D101" s="50">
        <v>1706</v>
      </c>
      <c r="E101" s="78">
        <v>2017</v>
      </c>
      <c r="G101" s="52">
        <v>59.551993006993044</v>
      </c>
      <c r="H101" s="52">
        <v>57.94479452054793</v>
      </c>
      <c r="I101" s="52">
        <v>51.276609418282533</v>
      </c>
      <c r="J101" s="52">
        <v>28.744128440366936</v>
      </c>
      <c r="K101" s="53">
        <f>AVERAGE(Оценка_фальсификаций[[#This Row],[Ф. дума партии]:[Ф. мособлдума одномандатный]])</f>
        <v>49.379381346547603</v>
      </c>
    </row>
    <row r="102" spans="1:13" x14ac:dyDescent="0.4">
      <c r="A102" s="49">
        <v>3959</v>
      </c>
      <c r="B102" s="49" t="s">
        <v>332</v>
      </c>
      <c r="C102" s="49" t="s">
        <v>387</v>
      </c>
      <c r="D102" s="50">
        <v>1510</v>
      </c>
      <c r="E102" s="78">
        <v>2017</v>
      </c>
      <c r="F102" s="51">
        <v>1</v>
      </c>
      <c r="G102" s="52">
        <v>54.08874125874128</v>
      </c>
      <c r="H102" s="52">
        <v>50.05931506849312</v>
      </c>
      <c r="I102" s="52">
        <v>62.890686980609402</v>
      </c>
      <c r="J102" s="52">
        <v>27.286629969418939</v>
      </c>
      <c r="K102" s="53">
        <f>AVERAGE(Оценка_фальсификаций[[#This Row],[Ф. дума партии]:[Ф. мособлдума одномандатный]])</f>
        <v>48.581343319315678</v>
      </c>
    </row>
    <row r="103" spans="1:13" x14ac:dyDescent="0.4">
      <c r="A103" s="49">
        <v>2024</v>
      </c>
      <c r="B103" s="49" t="s">
        <v>349</v>
      </c>
      <c r="C103" s="49" t="s">
        <v>388</v>
      </c>
      <c r="D103" s="50">
        <v>2337</v>
      </c>
      <c r="E103" s="78">
        <v>2017</v>
      </c>
      <c r="F103" s="51">
        <v>1</v>
      </c>
      <c r="G103" s="52">
        <v>38.191783216783264</v>
      </c>
      <c r="H103" s="52">
        <v>48.458630136986287</v>
      </c>
      <c r="I103" s="52">
        <v>59.481950138504118</v>
      </c>
      <c r="J103" s="52">
        <v>31.6379510703363</v>
      </c>
      <c r="K103" s="53">
        <f>AVERAGE(Оценка_фальсификаций[[#This Row],[Ф. дума партии]:[Ф. мособлдума одномандатный]])</f>
        <v>44.442578640652492</v>
      </c>
    </row>
    <row r="104" spans="1:13" x14ac:dyDescent="0.4">
      <c r="A104" s="49">
        <v>3955</v>
      </c>
      <c r="B104" s="49" t="s">
        <v>330</v>
      </c>
      <c r="C104" s="49" t="s">
        <v>387</v>
      </c>
      <c r="D104" s="50">
        <v>1907</v>
      </c>
      <c r="E104" s="78">
        <v>2017</v>
      </c>
      <c r="G104" s="52">
        <v>33.476223776223833</v>
      </c>
      <c r="H104" s="52">
        <v>27.127397260273924</v>
      </c>
      <c r="I104" s="52">
        <v>104.19834903047087</v>
      </c>
      <c r="J104" s="52">
        <v>12.679883792048884</v>
      </c>
      <c r="K104" s="53">
        <f>AVERAGE(Оценка_фальсификаций[[#This Row],[Ф. дума партии]:[Ф. мособлдума одномандатный]])</f>
        <v>44.37046346475438</v>
      </c>
    </row>
    <row r="105" spans="1:13" x14ac:dyDescent="0.4">
      <c r="A105" s="49">
        <v>3981</v>
      </c>
      <c r="B105" s="49" t="s">
        <v>343</v>
      </c>
      <c r="C105" s="49" t="s">
        <v>387</v>
      </c>
      <c r="D105" s="50">
        <v>1926</v>
      </c>
      <c r="E105" s="78">
        <v>2017</v>
      </c>
      <c r="G105" s="52">
        <v>47.665384615384639</v>
      </c>
      <c r="H105" s="52">
        <v>23.454246575342452</v>
      </c>
      <c r="I105" s="52">
        <v>66.424670360110781</v>
      </c>
      <c r="J105" s="52">
        <v>32.735486238532076</v>
      </c>
      <c r="K105" s="53">
        <f>AVERAGE(Оценка_фальсификаций[[#This Row],[Ф. дума партии]:[Ф. мособлдума одномандатный]])</f>
        <v>42.569946947342487</v>
      </c>
    </row>
    <row r="106" spans="1:13" x14ac:dyDescent="0.4">
      <c r="A106" s="49">
        <v>3936</v>
      </c>
      <c r="B106" s="49" t="s">
        <v>353</v>
      </c>
      <c r="C106" s="49" t="s">
        <v>387</v>
      </c>
      <c r="D106" s="50">
        <v>1651</v>
      </c>
      <c r="E106" s="78" t="s">
        <v>455</v>
      </c>
      <c r="G106" s="52">
        <v>100.03783216783218</v>
      </c>
      <c r="H106" s="52">
        <v>16.478630136986297</v>
      </c>
      <c r="I106" s="52">
        <v>36.260565096952874</v>
      </c>
      <c r="J106" s="52">
        <v>-2.3538776758410052</v>
      </c>
      <c r="K106" s="53">
        <f>AVERAGE(Оценка_фальсификаций[[#This Row],[Ф. дума партии]:[Ф. мособлдума одномандатный]])</f>
        <v>37.60578743148259</v>
      </c>
    </row>
    <row r="107" spans="1:13" x14ac:dyDescent="0.4">
      <c r="A107" s="49">
        <v>2035</v>
      </c>
      <c r="B107" s="49" t="s">
        <v>349</v>
      </c>
      <c r="C107" s="49" t="s">
        <v>388</v>
      </c>
      <c r="D107" s="50">
        <v>1731</v>
      </c>
      <c r="E107" s="78">
        <v>2017</v>
      </c>
      <c r="G107" s="52">
        <v>26.38164335664338</v>
      </c>
      <c r="H107" s="52">
        <v>23.824931506849296</v>
      </c>
      <c r="I107" s="52">
        <v>51.330770083102465</v>
      </c>
      <c r="J107" s="52">
        <v>28.16536391437306</v>
      </c>
      <c r="K107" s="53">
        <f>AVERAGE(Оценка_фальсификаций[[#This Row],[Ф. дума партии]:[Ф. мособлдума одномандатный]])</f>
        <v>32.425677215242047</v>
      </c>
    </row>
    <row r="108" spans="1:13" x14ac:dyDescent="0.4">
      <c r="A108" s="49">
        <v>1953</v>
      </c>
      <c r="B108" s="49" t="s">
        <v>349</v>
      </c>
      <c r="C108" s="49" t="s">
        <v>388</v>
      </c>
      <c r="D108" s="50">
        <v>2043</v>
      </c>
      <c r="E108" s="78" t="s">
        <v>455</v>
      </c>
      <c r="G108" s="52">
        <v>39.712657342657366</v>
      </c>
      <c r="H108" s="52">
        <v>28.492191780821912</v>
      </c>
      <c r="I108" s="52">
        <v>14.877257617728517</v>
      </c>
      <c r="J108" s="52">
        <v>35.534024464831759</v>
      </c>
      <c r="K108" s="53">
        <f>AVERAGE(Оценка_фальсификаций[[#This Row],[Ф. дума партии]:[Ф. мособлдума одномандатный]])</f>
        <v>29.654032801509889</v>
      </c>
    </row>
    <row r="109" spans="1:13" x14ac:dyDescent="0.4">
      <c r="A109" s="49">
        <v>1985</v>
      </c>
      <c r="B109" s="49" t="s">
        <v>349</v>
      </c>
      <c r="C109" s="49" t="s">
        <v>388</v>
      </c>
      <c r="D109" s="50">
        <v>2023</v>
      </c>
      <c r="E109" s="78">
        <v>2017</v>
      </c>
      <c r="G109" s="52">
        <v>20.99486013986018</v>
      </c>
      <c r="H109" s="52">
        <v>12.097808219178049</v>
      </c>
      <c r="I109" s="52">
        <v>22.12463157894733</v>
      </c>
      <c r="J109" s="52">
        <v>61.123180428134518</v>
      </c>
      <c r="K109" s="53">
        <f>AVERAGE(Оценка_фальсификаций[[#This Row],[Ф. дума партии]:[Ф. мособлдума одномандатный]])</f>
        <v>29.085120091530019</v>
      </c>
    </row>
    <row r="110" spans="1:13" x14ac:dyDescent="0.4">
      <c r="A110" s="49">
        <v>3958</v>
      </c>
      <c r="B110" s="49" t="s">
        <v>331</v>
      </c>
      <c r="C110" s="49" t="s">
        <v>387</v>
      </c>
      <c r="D110" s="50">
        <v>1122</v>
      </c>
      <c r="E110" s="78">
        <v>2017</v>
      </c>
      <c r="G110" s="52">
        <v>39.882587412587419</v>
      </c>
      <c r="H110" s="52">
        <v>18.230958904109578</v>
      </c>
      <c r="I110" s="52">
        <v>26.917850415512454</v>
      </c>
      <c r="J110" s="52">
        <v>26.379663608562666</v>
      </c>
      <c r="K110" s="53">
        <f>AVERAGE(Оценка_фальсификаций[[#This Row],[Ф. дума партии]:[Ф. мособлдума одномандатный]])</f>
        <v>27.852765085193031</v>
      </c>
    </row>
    <row r="111" spans="1:13" x14ac:dyDescent="0.4">
      <c r="A111" s="49">
        <v>3972</v>
      </c>
      <c r="B111" s="49" t="s">
        <v>340</v>
      </c>
      <c r="C111" s="49" t="s">
        <v>387</v>
      </c>
      <c r="D111" s="50">
        <v>1933</v>
      </c>
      <c r="E111" s="78">
        <v>2017</v>
      </c>
      <c r="G111" s="52">
        <v>72.687587412587462</v>
      </c>
      <c r="H111" s="52">
        <v>64.920410958904071</v>
      </c>
      <c r="I111" s="52">
        <v>17.351722991689712</v>
      </c>
      <c r="J111" s="52">
        <v>-44.423706422018427</v>
      </c>
      <c r="K111" s="53">
        <f>AVERAGE(Оценка_фальсификаций[[#This Row],[Ф. дума партии]:[Ф. мособлдума одномандатный]])</f>
        <v>27.634003735290705</v>
      </c>
    </row>
    <row r="112" spans="1:13" x14ac:dyDescent="0.4">
      <c r="A112" s="49">
        <v>2000</v>
      </c>
      <c r="B112" s="49" t="s">
        <v>349</v>
      </c>
      <c r="C112" s="49" t="s">
        <v>388</v>
      </c>
      <c r="D112" s="50">
        <v>1457</v>
      </c>
      <c r="E112" s="78">
        <v>2017</v>
      </c>
      <c r="G112" s="52">
        <v>12.991153846153864</v>
      </c>
      <c r="H112" s="52">
        <v>16.697671232876701</v>
      </c>
      <c r="I112" s="52">
        <v>33.203872576177275</v>
      </c>
      <c r="J112" s="52">
        <v>42.066299694189567</v>
      </c>
      <c r="K112" s="53">
        <f>AVERAGE(Оценка_фальсификаций[[#This Row],[Ф. дума партии]:[Ф. мособлдума одномандатный]])</f>
        <v>26.239749337349352</v>
      </c>
    </row>
    <row r="113" spans="1:13" x14ac:dyDescent="0.4">
      <c r="A113" s="49">
        <v>2015</v>
      </c>
      <c r="B113" s="49" t="s">
        <v>349</v>
      </c>
      <c r="C113" s="49" t="s">
        <v>388</v>
      </c>
      <c r="D113" s="50">
        <v>2054</v>
      </c>
      <c r="E113" s="78">
        <v>2017</v>
      </c>
      <c r="G113" s="52">
        <v>17.460314685314714</v>
      </c>
      <c r="H113" s="52">
        <v>7.9528767123287594</v>
      </c>
      <c r="I113" s="52">
        <v>25.469052631578904</v>
      </c>
      <c r="J113" s="52">
        <v>49.403198776758373</v>
      </c>
      <c r="K113" s="53">
        <f>AVERAGE(Оценка_фальсификаций[[#This Row],[Ф. дума партии]:[Ф. мособлдума одномандатный]])</f>
        <v>25.071360701495188</v>
      </c>
    </row>
    <row r="114" spans="1:13" x14ac:dyDescent="0.4">
      <c r="A114" s="45">
        <v>3915</v>
      </c>
      <c r="B114" s="45" t="s">
        <v>322</v>
      </c>
      <c r="C114" s="45" t="s">
        <v>387</v>
      </c>
      <c r="D114" s="46">
        <v>1605</v>
      </c>
      <c r="E114" s="79">
        <v>2017</v>
      </c>
      <c r="F114" s="46"/>
      <c r="G114" s="47">
        <v>29.899195804195841</v>
      </c>
      <c r="H114" s="47">
        <v>15.063287671232871</v>
      </c>
      <c r="I114" s="47">
        <v>41.141795013850398</v>
      </c>
      <c r="J114" s="47">
        <v>12.934348525469161</v>
      </c>
      <c r="K114" s="48">
        <f>AVERAGE(Оценка_фальсификаций[[#This Row],[Ф. дума партии]:[Ф. мособлдума одномандатный]])</f>
        <v>24.759656753687068</v>
      </c>
      <c r="L114" s="47"/>
      <c r="M114" s="65"/>
    </row>
    <row r="115" spans="1:13" x14ac:dyDescent="0.4">
      <c r="A115" s="49">
        <v>2073</v>
      </c>
      <c r="B115" s="49" t="s">
        <v>359</v>
      </c>
      <c r="C115" s="49" t="s">
        <v>388</v>
      </c>
      <c r="D115" s="50">
        <v>1032</v>
      </c>
      <c r="E115" s="78">
        <v>2017</v>
      </c>
      <c r="G115" s="52">
        <v>29.593321678321693</v>
      </c>
      <c r="H115" s="52">
        <v>22.746575342465746</v>
      </c>
      <c r="I115" s="52">
        <v>24.964681440443194</v>
      </c>
      <c r="J115" s="52">
        <v>17.059437308868482</v>
      </c>
      <c r="K115" s="53">
        <f>AVERAGE(Оценка_фальсификаций[[#This Row],[Ф. дума партии]:[Ф. мособлдума одномандатный]])</f>
        <v>23.591003942524779</v>
      </c>
    </row>
    <row r="116" spans="1:13" x14ac:dyDescent="0.4">
      <c r="A116" s="45">
        <v>3923</v>
      </c>
      <c r="B116" s="45" t="s">
        <v>322</v>
      </c>
      <c r="C116" s="45" t="s">
        <v>387</v>
      </c>
      <c r="D116" s="46">
        <v>1674</v>
      </c>
      <c r="E116" s="79">
        <v>2017</v>
      </c>
      <c r="F116" s="46">
        <v>1</v>
      </c>
      <c r="G116" s="47">
        <v>19.28706293706297</v>
      </c>
      <c r="H116" s="47">
        <v>15.417123287671203</v>
      </c>
      <c r="I116" s="47">
        <v>25.986963988919641</v>
      </c>
      <c r="J116" s="47">
        <v>26.663731903485257</v>
      </c>
      <c r="K116" s="48">
        <f>AVERAGE(Оценка_фальсификаций[[#This Row],[Ф. дума партии]:[Ф. мособлдума одномандатный]])</f>
        <v>21.838720529284767</v>
      </c>
      <c r="L116" s="47"/>
      <c r="M116" s="65"/>
    </row>
    <row r="117" spans="1:13" x14ac:dyDescent="0.4">
      <c r="A117" s="49">
        <v>705</v>
      </c>
      <c r="B117" s="49" t="s">
        <v>317</v>
      </c>
      <c r="C117" s="49" t="s">
        <v>387</v>
      </c>
      <c r="D117" s="50">
        <v>1838</v>
      </c>
      <c r="E117" s="78">
        <v>2017</v>
      </c>
      <c r="G117" s="52">
        <v>31.640979020979039</v>
      </c>
      <c r="H117" s="52">
        <v>30.295068493150673</v>
      </c>
      <c r="I117" s="52">
        <v>22.395434903047068</v>
      </c>
      <c r="J117" s="52">
        <v>-3.2149663608562946</v>
      </c>
      <c r="K117" s="53">
        <f>AVERAGE(Оценка_фальсификаций[[#This Row],[Ф. дума партии]:[Ф. мособлдума одномандатный]])</f>
        <v>20.279129014080119</v>
      </c>
    </row>
    <row r="118" spans="1:13" x14ac:dyDescent="0.4">
      <c r="A118" s="49">
        <v>700</v>
      </c>
      <c r="B118" s="49" t="s">
        <v>317</v>
      </c>
      <c r="C118" s="49" t="s">
        <v>387</v>
      </c>
      <c r="D118" s="50">
        <v>422</v>
      </c>
      <c r="E118" s="78">
        <v>2017</v>
      </c>
      <c r="G118" s="52">
        <v>29.627307692307699</v>
      </c>
      <c r="H118" s="52">
        <v>34.32205479452054</v>
      </c>
      <c r="I118" s="52">
        <v>24.385839335180048</v>
      </c>
      <c r="J118" s="52">
        <v>-8.1697553516819674</v>
      </c>
      <c r="K118" s="53">
        <f>AVERAGE(Оценка_фальсификаций[[#This Row],[Ф. дума партии]:[Ф. мособлдума одномандатный]])</f>
        <v>20.041361617581579</v>
      </c>
    </row>
    <row r="119" spans="1:13" x14ac:dyDescent="0.4">
      <c r="A119" s="49">
        <v>3931</v>
      </c>
      <c r="B119" s="49" t="s">
        <v>325</v>
      </c>
      <c r="C119" s="49" t="s">
        <v>387</v>
      </c>
      <c r="D119" s="50">
        <v>2664</v>
      </c>
      <c r="E119" s="78">
        <v>2017</v>
      </c>
      <c r="G119" s="52">
        <v>13.025139860139888</v>
      </c>
      <c r="H119" s="52">
        <v>34.557945205479427</v>
      </c>
      <c r="I119" s="52">
        <v>18.096432132963955</v>
      </c>
      <c r="J119" s="52">
        <v>11.162391437308798</v>
      </c>
      <c r="K119" s="53">
        <f>AVERAGE(Оценка_фальсификаций[[#This Row],[Ф. дума партии]:[Ф. мособлдума одномандатный]])</f>
        <v>19.210477158973017</v>
      </c>
    </row>
    <row r="120" spans="1:13" s="60" customFormat="1" x14ac:dyDescent="0.4">
      <c r="A120" s="49">
        <v>699</v>
      </c>
      <c r="B120" s="49" t="s">
        <v>317</v>
      </c>
      <c r="C120" s="49" t="s">
        <v>387</v>
      </c>
      <c r="D120" s="50">
        <v>1969</v>
      </c>
      <c r="E120" s="78">
        <v>2017</v>
      </c>
      <c r="F120" s="51">
        <v>1</v>
      </c>
      <c r="G120" s="52">
        <v>34.69972027972031</v>
      </c>
      <c r="H120" s="52">
        <v>23.06671232876711</v>
      </c>
      <c r="I120" s="52">
        <v>31.484271468144016</v>
      </c>
      <c r="J120" s="52">
        <v>-12.679883792048955</v>
      </c>
      <c r="K120" s="53">
        <f>AVERAGE(Оценка_фальсификаций[[#This Row],[Ф. дума партии]:[Ф. мособлдума одномандатный]])</f>
        <v>19.14270507114562</v>
      </c>
      <c r="L120" s="52"/>
      <c r="M120" s="66"/>
    </row>
    <row r="121" spans="1:13" x14ac:dyDescent="0.4">
      <c r="A121" s="49">
        <v>2026</v>
      </c>
      <c r="B121" s="49" t="s">
        <v>349</v>
      </c>
      <c r="C121" s="49" t="s">
        <v>388</v>
      </c>
      <c r="D121" s="50">
        <v>2642</v>
      </c>
      <c r="E121" s="78">
        <v>2017</v>
      </c>
      <c r="F121" s="51">
        <v>1</v>
      </c>
      <c r="G121" s="52">
        <v>14.962342657342674</v>
      </c>
      <c r="H121" s="52">
        <v>2.3589041095890053</v>
      </c>
      <c r="I121" s="52">
        <v>31.135612188365627</v>
      </c>
      <c r="J121" s="52">
        <v>26.651400611620758</v>
      </c>
      <c r="K121" s="53">
        <f>AVERAGE(Оценка_фальсификаций[[#This Row],[Ф. дума партии]:[Ф. мособлдума одномандатный]])</f>
        <v>18.777064891729516</v>
      </c>
    </row>
    <row r="122" spans="1:13" x14ac:dyDescent="0.4">
      <c r="A122" s="45">
        <v>3921</v>
      </c>
      <c r="B122" s="45" t="s">
        <v>322</v>
      </c>
      <c r="C122" s="45" t="s">
        <v>387</v>
      </c>
      <c r="D122" s="46">
        <v>1667</v>
      </c>
      <c r="E122" s="79">
        <v>2017</v>
      </c>
      <c r="F122" s="46"/>
      <c r="G122" s="47">
        <v>25.260104895104917</v>
      </c>
      <c r="H122" s="47">
        <v>-1.145753424657542</v>
      </c>
      <c r="I122" s="47">
        <v>31.463961218836531</v>
      </c>
      <c r="J122" s="47">
        <v>16.248107238605911</v>
      </c>
      <c r="K122" s="48">
        <f>AVERAGE(Оценка_фальсификаций[[#This Row],[Ф. дума партии]:[Ф. мособлдума одномандатный]])</f>
        <v>17.956604981972454</v>
      </c>
      <c r="L122" s="47"/>
      <c r="M122" s="65"/>
    </row>
    <row r="123" spans="1:13" x14ac:dyDescent="0.4">
      <c r="A123" s="49">
        <v>1957</v>
      </c>
      <c r="B123" s="49" t="s">
        <v>351</v>
      </c>
      <c r="C123" s="49" t="s">
        <v>388</v>
      </c>
      <c r="D123" s="50">
        <v>208</v>
      </c>
      <c r="E123" s="78" t="s">
        <v>455</v>
      </c>
      <c r="G123" s="52">
        <v>21.343216783216789</v>
      </c>
      <c r="H123" s="52">
        <v>18.888082191780818</v>
      </c>
      <c r="I123" s="52">
        <v>10.886293628808861</v>
      </c>
      <c r="J123" s="52">
        <v>11.144746177370028</v>
      </c>
      <c r="K123" s="53">
        <f>AVERAGE(Оценка_фальсификаций[[#This Row],[Ф. дума партии]:[Ф. мособлдума одномандатный]])</f>
        <v>15.565584695294124</v>
      </c>
    </row>
    <row r="124" spans="1:13" x14ac:dyDescent="0.4">
      <c r="A124" s="49">
        <v>1960</v>
      </c>
      <c r="B124" s="49" t="s">
        <v>349</v>
      </c>
      <c r="C124" s="49" t="s">
        <v>388</v>
      </c>
      <c r="D124" s="50">
        <v>1130</v>
      </c>
      <c r="E124" s="78">
        <v>2017</v>
      </c>
      <c r="G124" s="52">
        <v>16.772097902097919</v>
      </c>
      <c r="H124" s="52">
        <v>6.2173972602739624</v>
      </c>
      <c r="I124" s="52">
        <v>20.455806094182805</v>
      </c>
      <c r="J124" s="52">
        <v>13.463333333333317</v>
      </c>
      <c r="K124" s="53">
        <f>AVERAGE(Оценка_фальсификаций[[#This Row],[Ф. дума партии]:[Ф. мособлдума одномандатный]])</f>
        <v>14.227158647472001</v>
      </c>
    </row>
    <row r="125" spans="1:13" x14ac:dyDescent="0.4">
      <c r="A125" s="45">
        <v>2064</v>
      </c>
      <c r="B125" s="45" t="s">
        <v>319</v>
      </c>
      <c r="C125" s="45" t="s">
        <v>387</v>
      </c>
      <c r="D125" s="46">
        <v>1121</v>
      </c>
      <c r="E125" s="79">
        <v>2017</v>
      </c>
      <c r="F125" s="46"/>
      <c r="G125" s="47">
        <v>1.7587762237762448</v>
      </c>
      <c r="H125" s="47">
        <v>-4.6841095890410998</v>
      </c>
      <c r="I125" s="47">
        <v>33.589767313019372</v>
      </c>
      <c r="J125" s="47">
        <v>15.646820375335118</v>
      </c>
      <c r="K125" s="48">
        <f>AVERAGE(Оценка_фальсификаций[[#This Row],[Ф. дума партии]:[Ф. мособлдума одномандатный]])</f>
        <v>11.577813580772409</v>
      </c>
      <c r="L125" s="47"/>
      <c r="M125" s="65"/>
    </row>
    <row r="126" spans="1:13" x14ac:dyDescent="0.4">
      <c r="A126" s="49">
        <v>1996</v>
      </c>
      <c r="B126" s="49" t="s">
        <v>349</v>
      </c>
      <c r="C126" s="49" t="s">
        <v>388</v>
      </c>
      <c r="D126" s="50">
        <v>1306</v>
      </c>
      <c r="E126" s="78">
        <v>2017</v>
      </c>
      <c r="F126" s="51">
        <v>1</v>
      </c>
      <c r="G126" s="52">
        <v>3.5685314685315035</v>
      </c>
      <c r="H126" s="52">
        <v>-9.1491780821917956</v>
      </c>
      <c r="I126" s="52">
        <v>21.904603878116319</v>
      </c>
      <c r="J126" s="52">
        <v>25.72325993883787</v>
      </c>
      <c r="K126" s="53">
        <f>AVERAGE(Оценка_фальсификаций[[#This Row],[Ф. дума партии]:[Ф. мособлдума одномандатный]])</f>
        <v>10.511804300823474</v>
      </c>
    </row>
    <row r="127" spans="1:13" x14ac:dyDescent="0.4">
      <c r="A127" s="45">
        <v>2065</v>
      </c>
      <c r="B127" s="45" t="s">
        <v>319</v>
      </c>
      <c r="C127" s="45" t="s">
        <v>387</v>
      </c>
      <c r="D127" s="46">
        <v>2240</v>
      </c>
      <c r="E127" s="79">
        <v>2017</v>
      </c>
      <c r="F127" s="46"/>
      <c r="G127" s="47">
        <v>-7.6978321678321322</v>
      </c>
      <c r="H127" s="47">
        <v>-9.6883561643835634</v>
      </c>
      <c r="I127" s="47">
        <v>45.369711911357314</v>
      </c>
      <c r="J127" s="47">
        <v>5.164386058981222</v>
      </c>
      <c r="K127" s="48">
        <f>AVERAGE(Оценка_фальсификаций[[#This Row],[Ф. дума партии]:[Ф. мособлдума одномандатный]])</f>
        <v>8.28697740953071</v>
      </c>
      <c r="L127" s="47"/>
      <c r="M127" s="65"/>
    </row>
    <row r="128" spans="1:13" x14ac:dyDescent="0.4">
      <c r="A128" s="49">
        <v>2042</v>
      </c>
      <c r="B128" s="49" t="s">
        <v>349</v>
      </c>
      <c r="C128" s="49" t="s">
        <v>388</v>
      </c>
      <c r="D128" s="50">
        <v>2155</v>
      </c>
      <c r="E128" s="78">
        <v>2017</v>
      </c>
      <c r="G128" s="52">
        <v>23.892167832167843</v>
      </c>
      <c r="H128" s="52">
        <v>18.888082191780796</v>
      </c>
      <c r="I128" s="52">
        <v>-3.6524598337950351</v>
      </c>
      <c r="J128" s="52">
        <v>-11.547058103975559</v>
      </c>
      <c r="K128" s="53">
        <f>AVERAGE(Оценка_фальсификаций[[#This Row],[Ф. дума партии]:[Ф. мособлдума одномандатный]])</f>
        <v>6.8951830215445113</v>
      </c>
    </row>
    <row r="129" spans="1:13" x14ac:dyDescent="0.4">
      <c r="A129" s="49">
        <v>3948</v>
      </c>
      <c r="B129" s="49" t="s">
        <v>361</v>
      </c>
      <c r="C129" s="49" t="s">
        <v>388</v>
      </c>
      <c r="D129" s="50">
        <v>1066</v>
      </c>
      <c r="E129" s="78">
        <v>2017</v>
      </c>
      <c r="F129" s="51">
        <v>1</v>
      </c>
      <c r="G129" s="52">
        <v>17.817167832167854</v>
      </c>
      <c r="H129" s="52">
        <v>18.146712328767116</v>
      </c>
      <c r="I129" s="52">
        <v>-6.1201551246537562</v>
      </c>
      <c r="J129" s="52">
        <v>-2.5797370030581206</v>
      </c>
      <c r="K129" s="53">
        <f>AVERAGE(Оценка_фальсификаций[[#This Row],[Ф. дума партии]:[Ф. мособлдума одномандатный]])</f>
        <v>6.8159970083057733</v>
      </c>
    </row>
    <row r="130" spans="1:13" x14ac:dyDescent="0.4">
      <c r="A130" s="49">
        <v>3771</v>
      </c>
      <c r="B130" s="49" t="s">
        <v>317</v>
      </c>
      <c r="C130" s="49" t="s">
        <v>387</v>
      </c>
      <c r="D130" s="50">
        <v>559</v>
      </c>
      <c r="E130" s="78" t="s">
        <v>455</v>
      </c>
      <c r="G130" s="52">
        <v>18.649825174825178</v>
      </c>
      <c r="H130" s="52">
        <v>12.50219178082191</v>
      </c>
      <c r="I130" s="52">
        <v>2.9517562326869786</v>
      </c>
      <c r="J130" s="52">
        <v>-8.3109174311926672</v>
      </c>
      <c r="K130" s="53">
        <f>AVERAGE(Оценка_фальсификаций[[#This Row],[Ф. дума партии]:[Ф. мособлдума одномандатный]])</f>
        <v>6.4482139392853499</v>
      </c>
    </row>
    <row r="131" spans="1:13" x14ac:dyDescent="0.4">
      <c r="A131" s="49">
        <v>3945</v>
      </c>
      <c r="B131" s="49" t="s">
        <v>326</v>
      </c>
      <c r="C131" s="49" t="s">
        <v>387</v>
      </c>
      <c r="D131" s="50">
        <v>638</v>
      </c>
      <c r="E131" s="78">
        <v>2017</v>
      </c>
      <c r="F131" s="51">
        <v>2</v>
      </c>
      <c r="G131" s="52">
        <v>8.4710139860139968</v>
      </c>
      <c r="H131" s="52">
        <v>7.3126027397260209</v>
      </c>
      <c r="I131" s="52">
        <v>-7.7720554016620582</v>
      </c>
      <c r="J131" s="52">
        <v>13.548030581039747</v>
      </c>
      <c r="K131" s="53">
        <f>AVERAGE(Оценка_фальсификаций[[#This Row],[Ф. дума партии]:[Ф. мособлдума одномандатный]])</f>
        <v>5.3898979762794266</v>
      </c>
    </row>
    <row r="132" spans="1:13" x14ac:dyDescent="0.4">
      <c r="A132" s="49">
        <v>1963</v>
      </c>
      <c r="B132" s="49" t="s">
        <v>349</v>
      </c>
      <c r="C132" s="49" t="s">
        <v>388</v>
      </c>
      <c r="D132" s="50">
        <v>2320</v>
      </c>
      <c r="E132" s="78">
        <v>2017</v>
      </c>
      <c r="F132" s="51">
        <v>1</v>
      </c>
      <c r="G132" s="52">
        <v>2.200594405594444</v>
      </c>
      <c r="H132" s="52">
        <v>-21.819863013698651</v>
      </c>
      <c r="I132" s="52">
        <v>-1.1475290858726197</v>
      </c>
      <c r="J132" s="52">
        <v>41.681633027522849</v>
      </c>
      <c r="K132" s="53">
        <f>AVERAGE(Оценка_фальсификаций[[#This Row],[Ф. дума партии]:[Ф. мособлдума одномандатный]])</f>
        <v>5.2287088333865057</v>
      </c>
    </row>
    <row r="133" spans="1:13" x14ac:dyDescent="0.4">
      <c r="A133" s="49">
        <v>1965</v>
      </c>
      <c r="B133" s="49" t="s">
        <v>349</v>
      </c>
      <c r="C133" s="49" t="s">
        <v>388</v>
      </c>
      <c r="D133" s="50">
        <v>1265</v>
      </c>
      <c r="E133" s="78">
        <v>2017</v>
      </c>
      <c r="G133" s="52">
        <v>4.9364685314685488</v>
      </c>
      <c r="H133" s="52">
        <v>-9.1828767123287776</v>
      </c>
      <c r="I133" s="52">
        <v>12.331706371191132</v>
      </c>
      <c r="J133" s="52">
        <v>9.7542996941895836</v>
      </c>
      <c r="K133" s="53">
        <f>AVERAGE(Оценка_фальсификаций[[#This Row],[Ф. дума партии]:[Ф. мособлдума одномандатный]])</f>
        <v>4.4598994711301216</v>
      </c>
    </row>
    <row r="134" spans="1:13" x14ac:dyDescent="0.4">
      <c r="A134" s="61">
        <v>1976</v>
      </c>
      <c r="B134" s="61" t="s">
        <v>349</v>
      </c>
      <c r="C134" s="61" t="s">
        <v>388</v>
      </c>
      <c r="D134" s="60">
        <v>1748</v>
      </c>
      <c r="E134" s="80" t="s">
        <v>455</v>
      </c>
      <c r="F134" s="60">
        <v>2</v>
      </c>
      <c r="G134" s="62">
        <v>0</v>
      </c>
      <c r="H134" s="62">
        <v>0</v>
      </c>
      <c r="I134" s="62">
        <v>0</v>
      </c>
      <c r="J134" s="62">
        <v>0</v>
      </c>
      <c r="K134" s="63">
        <f>AVERAGE(Оценка_фальсификаций[[#This Row],[Ф. дума партии]:[Ф. мособлдума одномандатный]])</f>
        <v>0</v>
      </c>
      <c r="L134" s="62" t="s">
        <v>449</v>
      </c>
      <c r="M134" s="68"/>
    </row>
    <row r="135" spans="1:13" x14ac:dyDescent="0.4">
      <c r="A135" s="49">
        <v>3976</v>
      </c>
      <c r="B135" s="49" t="s">
        <v>341</v>
      </c>
      <c r="C135" s="49" t="s">
        <v>387</v>
      </c>
      <c r="D135" s="50">
        <v>1705</v>
      </c>
      <c r="E135" s="78">
        <v>2017</v>
      </c>
      <c r="G135" s="52">
        <v>9.5755594405594735</v>
      </c>
      <c r="H135" s="52">
        <v>-7.6327397260274097</v>
      </c>
      <c r="I135" s="52">
        <v>28.5291301939058</v>
      </c>
      <c r="J135" s="52">
        <v>-31.457969418960303</v>
      </c>
      <c r="K135" s="53">
        <f>AVERAGE(Оценка_фальсификаций[[#This Row],[Ф. дума партии]:[Ф. мособлдума одномандатный]])</f>
        <v>-0.2465048776306098</v>
      </c>
    </row>
    <row r="136" spans="1:13" x14ac:dyDescent="0.4">
      <c r="A136" s="49">
        <v>1974</v>
      </c>
      <c r="B136" s="49" t="s">
        <v>349</v>
      </c>
      <c r="C136" s="49" t="s">
        <v>388</v>
      </c>
      <c r="D136" s="50">
        <v>2084</v>
      </c>
      <c r="E136" s="78">
        <v>2017</v>
      </c>
      <c r="F136" s="51">
        <v>1</v>
      </c>
      <c r="G136" s="52">
        <v>-2.5064685314685136</v>
      </c>
      <c r="H136" s="52">
        <v>-1.0615068493150943</v>
      </c>
      <c r="I136" s="52">
        <v>15.902925207756212</v>
      </c>
      <c r="J136" s="52">
        <v>-14.617333333333377</v>
      </c>
      <c r="K136" s="53">
        <f>AVERAGE(Оценка_фальсификаций[[#This Row],[Ф. дума партии]:[Ф. мособлдума одномандатный]])</f>
        <v>-0.57059587659019328</v>
      </c>
    </row>
    <row r="137" spans="1:13" x14ac:dyDescent="0.4">
      <c r="A137" s="49">
        <v>1971</v>
      </c>
      <c r="B137" s="49" t="s">
        <v>349</v>
      </c>
      <c r="C137" s="49" t="s">
        <v>388</v>
      </c>
      <c r="D137" s="50">
        <v>2259</v>
      </c>
      <c r="E137" s="78">
        <v>2017</v>
      </c>
      <c r="G137" s="52">
        <v>-14.82639860139858</v>
      </c>
      <c r="H137" s="52">
        <v>-17.051506849315089</v>
      </c>
      <c r="I137" s="52">
        <v>3.2834903047091046</v>
      </c>
      <c r="J137" s="52">
        <v>25.042152905198705</v>
      </c>
      <c r="K137" s="53">
        <f>AVERAGE(Оценка_фальсификаций[[#This Row],[Ф. дума партии]:[Ф. мособлдума одномандатный]])</f>
        <v>-0.88806556020146488</v>
      </c>
    </row>
    <row r="138" spans="1:13" x14ac:dyDescent="0.4">
      <c r="A138" s="49">
        <v>1991</v>
      </c>
      <c r="B138" s="49" t="s">
        <v>349</v>
      </c>
      <c r="C138" s="49" t="s">
        <v>388</v>
      </c>
      <c r="D138" s="50">
        <v>2293</v>
      </c>
      <c r="E138" s="78">
        <v>2017</v>
      </c>
      <c r="G138" s="52">
        <v>-10.671608391608345</v>
      </c>
      <c r="H138" s="52">
        <v>-16.074246575342499</v>
      </c>
      <c r="I138" s="52">
        <v>8.4456786703600812</v>
      </c>
      <c r="J138" s="52">
        <v>12.905743119265992</v>
      </c>
      <c r="K138" s="53">
        <f>AVERAGE(Оценка_фальсификаций[[#This Row],[Ф. дума партии]:[Ф. мособлдума одномандатный]])</f>
        <v>-1.3486082943311928</v>
      </c>
    </row>
    <row r="139" spans="1:13" x14ac:dyDescent="0.4">
      <c r="A139" s="49">
        <v>2020</v>
      </c>
      <c r="B139" s="49" t="s">
        <v>349</v>
      </c>
      <c r="C139" s="49" t="s">
        <v>388</v>
      </c>
      <c r="D139" s="50">
        <v>1272</v>
      </c>
      <c r="E139" s="78">
        <v>2017</v>
      </c>
      <c r="G139" s="52">
        <v>7.349475524475551</v>
      </c>
      <c r="H139" s="52">
        <v>-12.047260273972611</v>
      </c>
      <c r="I139" s="52">
        <v>2.4643102493074593</v>
      </c>
      <c r="J139" s="52">
        <v>-5.106538226299719</v>
      </c>
      <c r="K139" s="53">
        <f>AVERAGE(Оценка_фальсификаций[[#This Row],[Ф. дума партии]:[Ф. мособлдума одномандатный]])</f>
        <v>-1.83500318162233</v>
      </c>
    </row>
    <row r="140" spans="1:13" x14ac:dyDescent="0.4">
      <c r="A140" s="49">
        <v>2021</v>
      </c>
      <c r="B140" s="49" t="s">
        <v>349</v>
      </c>
      <c r="C140" s="49" t="s">
        <v>388</v>
      </c>
      <c r="D140" s="50">
        <v>1023</v>
      </c>
      <c r="E140" s="78">
        <v>2017</v>
      </c>
      <c r="F140" s="51">
        <v>2</v>
      </c>
      <c r="G140" s="52">
        <v>-7.7233216783216605</v>
      </c>
      <c r="H140" s="52">
        <v>-8.778493150684934</v>
      </c>
      <c r="I140" s="52">
        <v>-0.46036565096953908</v>
      </c>
      <c r="J140" s="52">
        <v>7.7250948012232357</v>
      </c>
      <c r="K140" s="53">
        <f>AVERAGE(Оценка_фальсификаций[[#This Row],[Ф. дума партии]:[Ф. мособлдума одномандатный]])</f>
        <v>-2.3092714196882245</v>
      </c>
    </row>
    <row r="141" spans="1:13" x14ac:dyDescent="0.4">
      <c r="A141" s="49">
        <v>2022</v>
      </c>
      <c r="B141" s="49" t="s">
        <v>349</v>
      </c>
      <c r="C141" s="49" t="s">
        <v>388</v>
      </c>
      <c r="D141" s="50">
        <v>1911</v>
      </c>
      <c r="E141" s="78">
        <v>2017</v>
      </c>
      <c r="G141" s="52">
        <v>2.4809790209790492</v>
      </c>
      <c r="H141" s="52">
        <v>-5.6445205479452341</v>
      </c>
      <c r="I141" s="52">
        <v>-5.7850360110803507</v>
      </c>
      <c r="J141" s="52">
        <v>-1.7362935779816837</v>
      </c>
      <c r="K141" s="53">
        <f>AVERAGE(Оценка_фальсификаций[[#This Row],[Ф. дума партии]:[Ф. мособлдума одномандатный]])</f>
        <v>-2.6712177790070548</v>
      </c>
    </row>
    <row r="142" spans="1:13" x14ac:dyDescent="0.4">
      <c r="A142" s="49">
        <v>3949</v>
      </c>
      <c r="B142" s="49" t="s">
        <v>451</v>
      </c>
      <c r="C142" s="49" t="s">
        <v>387</v>
      </c>
      <c r="D142" s="50">
        <v>1470</v>
      </c>
      <c r="E142" s="78">
        <v>2017</v>
      </c>
      <c r="F142" s="51">
        <v>5</v>
      </c>
      <c r="G142" s="52">
        <v>-1.1640209790209539</v>
      </c>
      <c r="H142" s="52">
        <v>2.9654794520547796</v>
      </c>
      <c r="I142" s="52">
        <v>-8.9906703601108191</v>
      </c>
      <c r="J142" s="52">
        <v>-10.957706422018376</v>
      </c>
      <c r="K142" s="53">
        <f>AVERAGE(Оценка_фальсификаций[[#This Row],[Ф. дума партии]:[Ф. мособлдума одномандатный]])</f>
        <v>-4.5367295772738423</v>
      </c>
    </row>
    <row r="143" spans="1:13" x14ac:dyDescent="0.4">
      <c r="A143" s="49">
        <v>1979</v>
      </c>
      <c r="B143" s="49" t="s">
        <v>349</v>
      </c>
      <c r="C143" s="49" t="s">
        <v>388</v>
      </c>
      <c r="D143" s="50">
        <v>2223</v>
      </c>
      <c r="E143" s="78">
        <v>2017</v>
      </c>
      <c r="G143" s="52">
        <v>3.2626573426573771</v>
      </c>
      <c r="H143" s="52">
        <v>-19.326164383561647</v>
      </c>
      <c r="I143" s="52">
        <v>-11.072470914127464</v>
      </c>
      <c r="J143" s="52">
        <v>8.4556085626910829</v>
      </c>
      <c r="K143" s="53">
        <f>AVERAGE(Оценка_фальсификаций[[#This Row],[Ф. дума партии]:[Ф. мособлдума одномандатный]])</f>
        <v>-4.6700923480851628</v>
      </c>
    </row>
    <row r="144" spans="1:13" x14ac:dyDescent="0.4">
      <c r="A144" s="49">
        <v>2072</v>
      </c>
      <c r="B144" s="49" t="s">
        <v>359</v>
      </c>
      <c r="C144" s="49" t="s">
        <v>388</v>
      </c>
      <c r="D144" s="50">
        <v>1232</v>
      </c>
      <c r="E144" s="78">
        <v>2017</v>
      </c>
      <c r="G144" s="52">
        <v>-11.920594405594386</v>
      </c>
      <c r="H144" s="52">
        <v>-14.456712328767139</v>
      </c>
      <c r="I144" s="52">
        <v>1.2761606648199333</v>
      </c>
      <c r="J144" s="52">
        <v>6.3381773700305502</v>
      </c>
      <c r="K144" s="53">
        <f>AVERAGE(Оценка_фальсификаций[[#This Row],[Ф. дума партии]:[Ф. мособлдума одномандатный]])</f>
        <v>-4.6907421748777605</v>
      </c>
    </row>
    <row r="145" spans="1:11" x14ac:dyDescent="0.4">
      <c r="A145" s="49">
        <v>3929</v>
      </c>
      <c r="B145" s="49" t="s">
        <v>325</v>
      </c>
      <c r="C145" s="49" t="s">
        <v>387</v>
      </c>
      <c r="D145" s="50">
        <v>1457</v>
      </c>
      <c r="E145" s="78">
        <v>2017</v>
      </c>
      <c r="G145" s="52">
        <v>-4.2567482517482347</v>
      </c>
      <c r="H145" s="52">
        <v>-15.316027397260285</v>
      </c>
      <c r="I145" s="52">
        <v>10.168664819944574</v>
      </c>
      <c r="J145" s="52">
        <v>-9.8495840978593634</v>
      </c>
      <c r="K145" s="53">
        <f>AVERAGE(Оценка_фальсификаций[[#This Row],[Ф. дума партии]:[Ф. мособлдума одномандатный]])</f>
        <v>-4.8134237317308273</v>
      </c>
    </row>
    <row r="146" spans="1:11" x14ac:dyDescent="0.4">
      <c r="A146" s="49">
        <v>2051</v>
      </c>
      <c r="B146" s="49" t="s">
        <v>318</v>
      </c>
      <c r="C146" s="49" t="s">
        <v>387</v>
      </c>
      <c r="D146" s="50">
        <v>2085</v>
      </c>
      <c r="E146" s="78">
        <v>2017</v>
      </c>
      <c r="G146" s="52">
        <v>-20.671993006992977</v>
      </c>
      <c r="H146" s="52">
        <v>-26.537671232876718</v>
      </c>
      <c r="I146" s="52">
        <v>33.38327977839333</v>
      </c>
      <c r="J146" s="52">
        <v>-7.3368990825688485</v>
      </c>
      <c r="K146" s="53">
        <f>AVERAGE(Оценка_фальсификаций[[#This Row],[Ф. дума партии]:[Ф. мособлдума одномандатный]])</f>
        <v>-5.2908208860113035</v>
      </c>
    </row>
    <row r="147" spans="1:11" x14ac:dyDescent="0.4">
      <c r="A147" s="49">
        <v>2046</v>
      </c>
      <c r="B147" s="49" t="s">
        <v>357</v>
      </c>
      <c r="C147" s="49" t="s">
        <v>388</v>
      </c>
      <c r="D147" s="50">
        <v>749</v>
      </c>
      <c r="E147" s="78">
        <v>2017</v>
      </c>
      <c r="G147" s="52">
        <v>-7.3324825174825108</v>
      </c>
      <c r="H147" s="52">
        <v>-1.9039726027397315</v>
      </c>
      <c r="I147" s="52">
        <v>-2.3932243767313057</v>
      </c>
      <c r="J147" s="52">
        <v>-13.068079510703374</v>
      </c>
      <c r="K147" s="53">
        <f>AVERAGE(Оценка_фальсификаций[[#This Row],[Ф. дума партии]:[Ф. мособлдума одномандатный]])</f>
        <v>-6.17443975191423</v>
      </c>
    </row>
    <row r="148" spans="1:11" x14ac:dyDescent="0.4">
      <c r="A148" s="49">
        <v>3960</v>
      </c>
      <c r="B148" s="49" t="s">
        <v>333</v>
      </c>
      <c r="C148" s="49" t="s">
        <v>387</v>
      </c>
      <c r="D148" s="50">
        <v>1776</v>
      </c>
      <c r="E148" s="78">
        <v>2017</v>
      </c>
      <c r="G148" s="52">
        <v>-12.149999999999984</v>
      </c>
      <c r="H148" s="52">
        <v>-6.3016438356164528</v>
      </c>
      <c r="I148" s="52">
        <v>-13.682337950138511</v>
      </c>
      <c r="J148" s="52">
        <v>-24.946868501529067</v>
      </c>
      <c r="K148" s="53">
        <f>AVERAGE(Оценка_фальсификаций[[#This Row],[Ф. дума партии]:[Ф. мособлдума одномандатный]])</f>
        <v>-14.270212571821004</v>
      </c>
    </row>
    <row r="149" spans="1:11" x14ac:dyDescent="0.4">
      <c r="A149" s="49">
        <v>1993</v>
      </c>
      <c r="B149" s="49" t="s">
        <v>349</v>
      </c>
      <c r="C149" s="49" t="s">
        <v>388</v>
      </c>
      <c r="D149" s="50">
        <v>2164</v>
      </c>
      <c r="E149" s="78">
        <v>2017</v>
      </c>
      <c r="G149" s="52">
        <v>-22.209860139860112</v>
      </c>
      <c r="H149" s="52">
        <v>-42.08958904109592</v>
      </c>
      <c r="I149" s="52">
        <v>6.1404653739611916</v>
      </c>
      <c r="J149" s="52">
        <v>-2.470336391441208E-2</v>
      </c>
      <c r="K149" s="53">
        <f>AVERAGE(Оценка_фальсификаций[[#This Row],[Ф. дума партии]:[Ф. мособлдума одномандатный]])</f>
        <v>-14.545921792727313</v>
      </c>
    </row>
    <row r="150" spans="1:11" x14ac:dyDescent="0.4">
      <c r="A150" s="49">
        <v>3971</v>
      </c>
      <c r="B150" s="49" t="s">
        <v>340</v>
      </c>
      <c r="C150" s="49" t="s">
        <v>387</v>
      </c>
      <c r="D150" s="50">
        <v>1472</v>
      </c>
      <c r="E150" s="78">
        <v>2017</v>
      </c>
      <c r="G150" s="52">
        <v>-23.577797202797186</v>
      </c>
      <c r="H150" s="52">
        <v>-22.561232876712353</v>
      </c>
      <c r="I150" s="52">
        <v>4.3971689750692349</v>
      </c>
      <c r="J150" s="52">
        <v>-26.386721712538261</v>
      </c>
      <c r="K150" s="53">
        <f>AVERAGE(Оценка_фальсификаций[[#This Row],[Ф. дума партии]:[Ф. мособлдума одномандатный]])</f>
        <v>-17.032145704244641</v>
      </c>
    </row>
    <row r="151" spans="1:11" x14ac:dyDescent="0.4">
      <c r="A151" s="49">
        <v>2009</v>
      </c>
      <c r="B151" s="49" t="s">
        <v>349</v>
      </c>
      <c r="C151" s="49" t="s">
        <v>388</v>
      </c>
      <c r="D151" s="50">
        <v>2197</v>
      </c>
      <c r="E151" s="78">
        <v>2017</v>
      </c>
      <c r="F151" s="51">
        <v>2</v>
      </c>
      <c r="G151" s="52">
        <v>-44.249790209790177</v>
      </c>
      <c r="H151" s="52">
        <v>-44.02726027397263</v>
      </c>
      <c r="I151" s="52">
        <v>6.4078836565096537</v>
      </c>
      <c r="J151" s="52">
        <v>10.777724770642152</v>
      </c>
      <c r="K151" s="53">
        <f>AVERAGE(Оценка_фальсификаций[[#This Row],[Ф. дума партии]:[Ф. мособлдума одномандатный]])</f>
        <v>-17.77286051415275</v>
      </c>
    </row>
    <row r="152" spans="1:11" x14ac:dyDescent="0.4">
      <c r="A152" s="49">
        <v>2008</v>
      </c>
      <c r="B152" s="49" t="s">
        <v>349</v>
      </c>
      <c r="C152" s="49" t="s">
        <v>388</v>
      </c>
      <c r="D152" s="50">
        <v>2290</v>
      </c>
      <c r="E152" s="78">
        <v>2017</v>
      </c>
      <c r="F152" s="51">
        <v>2</v>
      </c>
      <c r="G152" s="52">
        <v>-37.656503496503447</v>
      </c>
      <c r="H152" s="52">
        <v>-30.952191780821934</v>
      </c>
      <c r="I152" s="52">
        <v>-14.288260387811647</v>
      </c>
      <c r="J152" s="52">
        <v>3.5184648318042235</v>
      </c>
      <c r="K152" s="53">
        <f>AVERAGE(Оценка_фальсификаций[[#This Row],[Ф. дума партии]:[Ф. мособлдума одномандатный]])</f>
        <v>-19.844622708333201</v>
      </c>
    </row>
    <row r="153" spans="1:11" x14ac:dyDescent="0.4">
      <c r="A153" s="49">
        <v>2043</v>
      </c>
      <c r="B153" s="49" t="s">
        <v>349</v>
      </c>
      <c r="C153" s="49" t="s">
        <v>388</v>
      </c>
      <c r="D153" s="50">
        <v>2359</v>
      </c>
      <c r="E153" s="78">
        <v>2017</v>
      </c>
      <c r="G153" s="52">
        <v>-17.536783216783192</v>
      </c>
      <c r="H153" s="52">
        <v>-13.395205479452073</v>
      </c>
      <c r="I153" s="52">
        <v>-10.737351800554052</v>
      </c>
      <c r="J153" s="52">
        <v>-42.013363914373116</v>
      </c>
      <c r="K153" s="53">
        <f>AVERAGE(Оценка_фальсификаций[[#This Row],[Ф. дума партии]:[Ф. мособлдума одномандатный]])</f>
        <v>-20.920676102790608</v>
      </c>
    </row>
    <row r="154" spans="1:11" x14ac:dyDescent="0.4">
      <c r="A154" s="49">
        <v>2029</v>
      </c>
      <c r="B154" s="49" t="s">
        <v>349</v>
      </c>
      <c r="C154" s="49" t="s">
        <v>388</v>
      </c>
      <c r="D154" s="50">
        <v>2070</v>
      </c>
      <c r="E154" s="78" t="s">
        <v>455</v>
      </c>
      <c r="G154" s="52">
        <v>-31.445559440559421</v>
      </c>
      <c r="H154" s="52">
        <v>-24.094520547945223</v>
      </c>
      <c r="I154" s="52">
        <v>-0.84287534626041349</v>
      </c>
      <c r="J154" s="52">
        <v>-31.701474006116243</v>
      </c>
      <c r="K154" s="53">
        <f>AVERAGE(Оценка_фальсификаций[[#This Row],[Ф. дума партии]:[Ф. мособлдума одномандатный]])</f>
        <v>-22.021107335220325</v>
      </c>
    </row>
    <row r="155" spans="1:11" x14ac:dyDescent="0.4">
      <c r="A155" s="49">
        <v>2032</v>
      </c>
      <c r="B155" s="49" t="s">
        <v>349</v>
      </c>
      <c r="C155" s="49" t="s">
        <v>388</v>
      </c>
      <c r="D155" s="50">
        <v>2992</v>
      </c>
      <c r="E155" s="78">
        <v>2017</v>
      </c>
      <c r="G155" s="52">
        <v>-20.162202797202767</v>
      </c>
      <c r="H155" s="52">
        <v>-25.712054794520569</v>
      </c>
      <c r="I155" s="52">
        <v>-8.5099944598338197</v>
      </c>
      <c r="J155" s="52">
        <v>-42.408617737003098</v>
      </c>
      <c r="K155" s="53">
        <f>AVERAGE(Оценка_фальсификаций[[#This Row],[Ф. дума партии]:[Ф. мособлдума одномандатный]])</f>
        <v>-24.198217447140063</v>
      </c>
    </row>
    <row r="156" spans="1:11" x14ac:dyDescent="0.4">
      <c r="A156" s="49">
        <v>2019</v>
      </c>
      <c r="B156" s="49" t="s">
        <v>349</v>
      </c>
      <c r="C156" s="49" t="s">
        <v>388</v>
      </c>
      <c r="D156" s="50">
        <v>1256</v>
      </c>
      <c r="E156" s="78">
        <v>2017</v>
      </c>
      <c r="F156" s="51">
        <v>1</v>
      </c>
      <c r="G156" s="52">
        <v>-21.147797202797186</v>
      </c>
      <c r="H156" s="52">
        <v>-27.346438356164391</v>
      </c>
      <c r="I156" s="52">
        <v>-24.961296398891974</v>
      </c>
      <c r="J156" s="52">
        <v>-23.591712538226318</v>
      </c>
      <c r="K156" s="53">
        <f>AVERAGE(Оценка_фальсификаций[[#This Row],[Ф. дума партии]:[Ф. мособлдума одномандатный]])</f>
        <v>-24.261811124019967</v>
      </c>
    </row>
    <row r="157" spans="1:11" x14ac:dyDescent="0.4">
      <c r="A157" s="49">
        <v>1968</v>
      </c>
      <c r="B157" s="49" t="s">
        <v>349</v>
      </c>
      <c r="C157" s="49" t="s">
        <v>388</v>
      </c>
      <c r="D157" s="50">
        <v>1222</v>
      </c>
      <c r="E157" s="78">
        <v>2017</v>
      </c>
      <c r="F157" s="51">
        <v>1</v>
      </c>
      <c r="G157" s="52">
        <v>-29.533846153846142</v>
      </c>
      <c r="H157" s="52">
        <v>-28.660684931506864</v>
      </c>
      <c r="I157" s="52">
        <v>-21.511939058171762</v>
      </c>
      <c r="J157" s="52">
        <v>-17.659376146789015</v>
      </c>
      <c r="K157" s="53">
        <f>AVERAGE(Оценка_фальсификаций[[#This Row],[Ф. дума партии]:[Ф. мособлдума одномандатный]])</f>
        <v>-24.341461572578446</v>
      </c>
    </row>
    <row r="158" spans="1:11" x14ac:dyDescent="0.4">
      <c r="A158" s="49">
        <v>1950</v>
      </c>
      <c r="B158" s="49" t="s">
        <v>349</v>
      </c>
      <c r="C158" s="49" t="s">
        <v>388</v>
      </c>
      <c r="D158" s="50">
        <v>2645</v>
      </c>
      <c r="E158" s="78">
        <v>2017</v>
      </c>
      <c r="F158" s="51">
        <v>1</v>
      </c>
      <c r="G158" s="52">
        <v>-33.50171328671324</v>
      </c>
      <c r="H158" s="52">
        <v>-42.679315068493167</v>
      </c>
      <c r="I158" s="52">
        <v>-29.998238227146842</v>
      </c>
      <c r="J158" s="52">
        <v>5.498262996941861</v>
      </c>
      <c r="K158" s="53">
        <f>AVERAGE(Оценка_фальсификаций[[#This Row],[Ф. дума партии]:[Ф. мособлдума одномандатный]])</f>
        <v>-25.170250896352847</v>
      </c>
    </row>
    <row r="159" spans="1:11" x14ac:dyDescent="0.4">
      <c r="A159" s="49">
        <v>701</v>
      </c>
      <c r="B159" s="49" t="s">
        <v>317</v>
      </c>
      <c r="C159" s="49" t="s">
        <v>387</v>
      </c>
      <c r="D159" s="50">
        <v>1249</v>
      </c>
      <c r="E159" s="78">
        <v>2017</v>
      </c>
      <c r="G159" s="52">
        <v>-27.90251748251746</v>
      </c>
      <c r="H159" s="52">
        <v>-13.76589041095891</v>
      </c>
      <c r="I159" s="52">
        <v>-25.529983379501395</v>
      </c>
      <c r="J159" s="52">
        <v>-43.947284403669741</v>
      </c>
      <c r="K159" s="53">
        <f>AVERAGE(Оценка_фальсификаций[[#This Row],[Ф. дума партии]:[Ф. мособлдума одномандатный]])</f>
        <v>-27.786418919161878</v>
      </c>
    </row>
    <row r="160" spans="1:11" x14ac:dyDescent="0.4">
      <c r="A160" s="49">
        <v>1997</v>
      </c>
      <c r="B160" s="49" t="s">
        <v>349</v>
      </c>
      <c r="C160" s="49" t="s">
        <v>388</v>
      </c>
      <c r="D160" s="50">
        <v>1453</v>
      </c>
      <c r="E160" s="78">
        <v>2017</v>
      </c>
      <c r="G160" s="52">
        <v>-20.612517482517468</v>
      </c>
      <c r="H160" s="52">
        <v>-33.563835616438361</v>
      </c>
      <c r="I160" s="52">
        <v>-39.645606648199461</v>
      </c>
      <c r="J160" s="52">
        <v>-17.948758409785981</v>
      </c>
      <c r="K160" s="53">
        <f>AVERAGE(Оценка_фальсификаций[[#This Row],[Ф. дума партии]:[Ф. мособлдума одномандатный]])</f>
        <v>-27.942679539235318</v>
      </c>
    </row>
    <row r="161" spans="1:11" x14ac:dyDescent="0.4">
      <c r="A161" s="49">
        <v>1995</v>
      </c>
      <c r="B161" s="49" t="s">
        <v>349</v>
      </c>
      <c r="C161" s="49" t="s">
        <v>388</v>
      </c>
      <c r="D161" s="50">
        <v>1987</v>
      </c>
      <c r="E161" s="78">
        <v>2017</v>
      </c>
      <c r="G161" s="52">
        <v>-34.410839160839117</v>
      </c>
      <c r="H161" s="52">
        <v>-50.345753424657573</v>
      </c>
      <c r="I161" s="52">
        <v>-25.919263157894775</v>
      </c>
      <c r="J161" s="52">
        <v>-5.8617553516820209</v>
      </c>
      <c r="K161" s="53">
        <f>AVERAGE(Оценка_фальсификаций[[#This Row],[Ф. дума партии]:[Ф. мособлдума одномандатный]])</f>
        <v>-29.134402773768372</v>
      </c>
    </row>
    <row r="162" spans="1:11" x14ac:dyDescent="0.4">
      <c r="A162" s="49">
        <v>2050</v>
      </c>
      <c r="B162" s="49" t="s">
        <v>318</v>
      </c>
      <c r="C162" s="49" t="s">
        <v>387</v>
      </c>
      <c r="D162" s="50">
        <v>2215</v>
      </c>
      <c r="E162" s="78">
        <v>2017</v>
      </c>
      <c r="G162" s="52">
        <v>-31.411573426573398</v>
      </c>
      <c r="H162" s="52">
        <v>-17.186301369863045</v>
      </c>
      <c r="I162" s="52">
        <v>-34.683135734072053</v>
      </c>
      <c r="J162" s="52">
        <v>-37.623223241590267</v>
      </c>
      <c r="K162" s="53">
        <f>AVERAGE(Оценка_фальсификаций[[#This Row],[Ф. дума партии]:[Ф. мособлдума одномандатный]])</f>
        <v>-30.226058443024691</v>
      </c>
    </row>
    <row r="163" spans="1:11" x14ac:dyDescent="0.4">
      <c r="A163" s="49">
        <v>2041</v>
      </c>
      <c r="B163" s="49" t="s">
        <v>349</v>
      </c>
      <c r="C163" s="49" t="s">
        <v>388</v>
      </c>
      <c r="D163" s="50">
        <v>2419</v>
      </c>
      <c r="E163" s="78">
        <v>2017</v>
      </c>
      <c r="G163" s="52">
        <v>-26.908426573426539</v>
      </c>
      <c r="H163" s="52">
        <v>-23.403698630137015</v>
      </c>
      <c r="I163" s="52">
        <v>-18.194598337950183</v>
      </c>
      <c r="J163" s="52">
        <v>-52.438183486238572</v>
      </c>
      <c r="K163" s="53">
        <f>AVERAGE(Оценка_фальсификаций[[#This Row],[Ф. дума партии]:[Ф. мособлдума одномандатный]])</f>
        <v>-30.236226756938077</v>
      </c>
    </row>
    <row r="164" spans="1:11" x14ac:dyDescent="0.4">
      <c r="A164" s="49">
        <v>3939</v>
      </c>
      <c r="B164" s="49" t="s">
        <v>353</v>
      </c>
      <c r="C164" s="49" t="s">
        <v>387</v>
      </c>
      <c r="D164" s="50">
        <v>2020</v>
      </c>
      <c r="E164" s="78">
        <v>2017</v>
      </c>
      <c r="G164" s="52">
        <v>-28.446293706293673</v>
      </c>
      <c r="H164" s="52">
        <v>-27.22849315068494</v>
      </c>
      <c r="I164" s="52">
        <v>-16.238044321329653</v>
      </c>
      <c r="J164" s="52">
        <v>-56.069577981651406</v>
      </c>
      <c r="K164" s="53">
        <f>AVERAGE(Оценка_фальсификаций[[#This Row],[Ф. дума партии]:[Ф. мособлдума одномандатный]])</f>
        <v>-31.995602289989918</v>
      </c>
    </row>
    <row r="165" spans="1:11" x14ac:dyDescent="0.4">
      <c r="A165" s="49">
        <v>3974</v>
      </c>
      <c r="B165" s="49" t="s">
        <v>453</v>
      </c>
      <c r="C165" s="49" t="s">
        <v>387</v>
      </c>
      <c r="D165" s="50">
        <v>2046</v>
      </c>
      <c r="E165" s="78">
        <v>2017</v>
      </c>
      <c r="G165" s="52">
        <v>-22.541223776223745</v>
      </c>
      <c r="H165" s="52">
        <v>-40.977534246575374</v>
      </c>
      <c r="I165" s="52">
        <v>-9.3291745152354935</v>
      </c>
      <c r="J165" s="52">
        <v>-81.291712538226392</v>
      </c>
      <c r="K165" s="53">
        <f>AVERAGE(Оценка_фальсификаций[[#This Row],[Ф. дума партии]:[Ф. мособлдума одномандатный]])</f>
        <v>-38.534911269065248</v>
      </c>
    </row>
    <row r="166" spans="1:11" x14ac:dyDescent="0.4">
      <c r="A166" s="49">
        <v>2013</v>
      </c>
      <c r="B166" s="49" t="s">
        <v>349</v>
      </c>
      <c r="C166" s="49" t="s">
        <v>388</v>
      </c>
      <c r="D166" s="50">
        <v>2166</v>
      </c>
      <c r="E166" s="78">
        <v>2017</v>
      </c>
      <c r="F166" s="51">
        <v>1</v>
      </c>
      <c r="G166" s="52">
        <v>-71.498076923076894</v>
      </c>
      <c r="H166" s="52">
        <v>-48.340684931506857</v>
      </c>
      <c r="I166" s="52">
        <v>-26.755368421052665</v>
      </c>
      <c r="J166" s="52">
        <v>-7.6333394495413387</v>
      </c>
      <c r="K166" s="53">
        <f>AVERAGE(Оценка_фальсификаций[[#This Row],[Ф. дума партии]:[Ф. мособлдума одномандатный]])</f>
        <v>-38.556867431294435</v>
      </c>
    </row>
    <row r="167" spans="1:11" x14ac:dyDescent="0.4">
      <c r="A167" s="49">
        <v>2028</v>
      </c>
      <c r="B167" s="49" t="s">
        <v>349</v>
      </c>
      <c r="C167" s="49" t="s">
        <v>388</v>
      </c>
      <c r="D167" s="50">
        <v>1939</v>
      </c>
      <c r="E167" s="78">
        <v>2017</v>
      </c>
      <c r="G167" s="52">
        <v>-30.808321678321661</v>
      </c>
      <c r="H167" s="52">
        <v>-21.466027397260291</v>
      </c>
      <c r="I167" s="52">
        <v>-52.97928531855959</v>
      </c>
      <c r="J167" s="52">
        <v>-57.12829357798168</v>
      </c>
      <c r="K167" s="53">
        <f>AVERAGE(Оценка_фальсификаций[[#This Row],[Ф. дума партии]:[Ф. мособлдума одномандатный]])</f>
        <v>-40.595481993030802</v>
      </c>
    </row>
    <row r="168" spans="1:11" x14ac:dyDescent="0.4">
      <c r="A168" s="49">
        <v>1998</v>
      </c>
      <c r="B168" s="49" t="s">
        <v>349</v>
      </c>
      <c r="C168" s="49" t="s">
        <v>388</v>
      </c>
      <c r="D168" s="50">
        <v>1542</v>
      </c>
      <c r="E168" s="78">
        <v>2017</v>
      </c>
      <c r="G168" s="52">
        <v>-38.013356643356602</v>
      </c>
      <c r="H168" s="52">
        <v>-36.310273972602758</v>
      </c>
      <c r="I168" s="52">
        <v>-50.663916897506951</v>
      </c>
      <c r="J168" s="52">
        <v>-40.732318042813475</v>
      </c>
      <c r="K168" s="53">
        <f>AVERAGE(Оценка_фальсификаций[[#This Row],[Ф. дума партии]:[Ф. мособлдума одномандатный]])</f>
        <v>-41.429966389069946</v>
      </c>
    </row>
    <row r="169" spans="1:11" x14ac:dyDescent="0.4">
      <c r="A169" s="49">
        <v>2027</v>
      </c>
      <c r="B169" s="49" t="s">
        <v>349</v>
      </c>
      <c r="C169" s="49" t="s">
        <v>388</v>
      </c>
      <c r="D169" s="50">
        <v>1817</v>
      </c>
      <c r="E169" s="78">
        <v>2017</v>
      </c>
      <c r="F169" s="51">
        <v>1</v>
      </c>
      <c r="G169" s="52">
        <v>-36.526468531468495</v>
      </c>
      <c r="H169" s="52">
        <v>-35.754246575342478</v>
      </c>
      <c r="I169" s="52">
        <v>-44.005540166204995</v>
      </c>
      <c r="J169" s="52">
        <v>-62.443045871559661</v>
      </c>
      <c r="K169" s="53">
        <f>AVERAGE(Оценка_фальсификаций[[#This Row],[Ф. дума партии]:[Ф. мособлдума одномандатный]])</f>
        <v>-44.682325286143907</v>
      </c>
    </row>
    <row r="170" spans="1:11" x14ac:dyDescent="0.4">
      <c r="A170" s="49">
        <v>2045</v>
      </c>
      <c r="B170" s="49" t="s">
        <v>357</v>
      </c>
      <c r="C170" s="49" t="s">
        <v>388</v>
      </c>
      <c r="D170" s="50">
        <v>2958</v>
      </c>
      <c r="E170" s="78" t="s">
        <v>455</v>
      </c>
      <c r="F170" s="51">
        <v>1</v>
      </c>
      <c r="G170" s="52">
        <v>-54.437097902097847</v>
      </c>
      <c r="H170" s="52">
        <v>-24.953835616438369</v>
      </c>
      <c r="I170" s="52">
        <v>-40.217678670360144</v>
      </c>
      <c r="J170" s="52">
        <v>-60.018587155963345</v>
      </c>
      <c r="K170" s="53">
        <f>AVERAGE(Оценка_фальсификаций[[#This Row],[Ф. дума партии]:[Ф. мособлдума одномандатный]])</f>
        <v>-44.90679983621493</v>
      </c>
    </row>
    <row r="171" spans="1:11" x14ac:dyDescent="0.4">
      <c r="A171" s="49">
        <v>694</v>
      </c>
      <c r="B171" s="49" t="s">
        <v>317</v>
      </c>
      <c r="C171" s="49" t="s">
        <v>387</v>
      </c>
      <c r="D171" s="50">
        <v>2271</v>
      </c>
      <c r="E171" s="78">
        <v>2017</v>
      </c>
      <c r="G171" s="52">
        <v>-31.352097902097881</v>
      </c>
      <c r="H171" s="52">
        <v>-23.892328767123303</v>
      </c>
      <c r="I171" s="52">
        <v>-37.719518005540181</v>
      </c>
      <c r="J171" s="52">
        <v>-88.353345565749265</v>
      </c>
      <c r="K171" s="53">
        <f>AVERAGE(Оценка_фальсификаций[[#This Row],[Ф. дума партии]:[Ф. мособлдума одномандатный]])</f>
        <v>-45.329322560127657</v>
      </c>
    </row>
    <row r="172" spans="1:11" x14ac:dyDescent="0.4">
      <c r="A172" s="49">
        <v>2040</v>
      </c>
      <c r="B172" s="49" t="s">
        <v>349</v>
      </c>
      <c r="C172" s="49" t="s">
        <v>388</v>
      </c>
      <c r="D172" s="50">
        <v>2212</v>
      </c>
      <c r="E172" s="78">
        <v>2017</v>
      </c>
      <c r="G172" s="52">
        <v>-50.681643356643335</v>
      </c>
      <c r="H172" s="52">
        <v>-24.161917808219187</v>
      </c>
      <c r="I172" s="52">
        <v>-43.301451523545722</v>
      </c>
      <c r="J172" s="52">
        <v>-65.41450764525996</v>
      </c>
      <c r="K172" s="53">
        <f>AVERAGE(Оценка_фальсификаций[[#This Row],[Ф. дума партии]:[Ф. мособлдума одномандатный]])</f>
        <v>-45.889880083417054</v>
      </c>
    </row>
    <row r="173" spans="1:11" x14ac:dyDescent="0.4">
      <c r="A173" s="49">
        <v>2038</v>
      </c>
      <c r="B173" s="49" t="s">
        <v>349</v>
      </c>
      <c r="C173" s="49" t="s">
        <v>388</v>
      </c>
      <c r="D173" s="50">
        <v>2676</v>
      </c>
      <c r="E173" s="78">
        <v>2017</v>
      </c>
      <c r="F173" s="51">
        <v>1</v>
      </c>
      <c r="G173" s="52">
        <v>-61.548671328671276</v>
      </c>
      <c r="H173" s="52">
        <v>-28.357397260273999</v>
      </c>
      <c r="I173" s="52">
        <v>-61.658531855955701</v>
      </c>
      <c r="J173" s="52">
        <v>-35.216409785932768</v>
      </c>
      <c r="K173" s="53">
        <f>AVERAGE(Оценка_фальсификаций[[#This Row],[Ф. дума партии]:[Ф. мособлдума одномандатный]])</f>
        <v>-46.695252557708436</v>
      </c>
    </row>
    <row r="174" spans="1:11" x14ac:dyDescent="0.4">
      <c r="A174" s="49">
        <v>3961</v>
      </c>
      <c r="B174" s="49" t="s">
        <v>334</v>
      </c>
      <c r="C174" s="49" t="s">
        <v>387</v>
      </c>
      <c r="D174" s="50">
        <v>1310</v>
      </c>
      <c r="E174" s="78">
        <v>2017</v>
      </c>
      <c r="F174" s="51">
        <v>2</v>
      </c>
      <c r="G174" s="52">
        <v>-38.047342657342639</v>
      </c>
      <c r="H174" s="52">
        <v>-54.861369863013707</v>
      </c>
      <c r="I174" s="52">
        <v>-40.972542936288107</v>
      </c>
      <c r="J174" s="52">
        <v>-56.962428134556603</v>
      </c>
      <c r="K174" s="53">
        <f>AVERAGE(Оценка_фальсификаций[[#This Row],[Ф. дума партии]:[Ф. мособлдума одномандатный]])</f>
        <v>-47.710920897800264</v>
      </c>
    </row>
    <row r="175" spans="1:11" x14ac:dyDescent="0.4">
      <c r="A175" s="49">
        <v>2039</v>
      </c>
      <c r="B175" s="49" t="s">
        <v>349</v>
      </c>
      <c r="C175" s="49" t="s">
        <v>388</v>
      </c>
      <c r="D175" s="50">
        <v>2358</v>
      </c>
      <c r="E175" s="78">
        <v>2017</v>
      </c>
      <c r="G175" s="52">
        <v>-54.827937062937039</v>
      </c>
      <c r="H175" s="52">
        <v>-47.835205479452071</v>
      </c>
      <c r="I175" s="52">
        <v>-40.099202216066502</v>
      </c>
      <c r="J175" s="52">
        <v>-55.162611620795161</v>
      </c>
      <c r="K175" s="53">
        <f>AVERAGE(Оценка_фальсификаций[[#This Row],[Ф. дума партии]:[Ф. мособлдума одномандатный]])</f>
        <v>-49.481239094812693</v>
      </c>
    </row>
    <row r="176" spans="1:11" x14ac:dyDescent="0.4">
      <c r="A176" s="49">
        <v>2001</v>
      </c>
      <c r="B176" s="49" t="s">
        <v>349</v>
      </c>
      <c r="C176" s="49" t="s">
        <v>388</v>
      </c>
      <c r="D176" s="50">
        <v>1850</v>
      </c>
      <c r="E176" s="78">
        <v>2017</v>
      </c>
      <c r="G176" s="52">
        <v>-56.637692307692276</v>
      </c>
      <c r="H176" s="52">
        <v>-42.982602739726048</v>
      </c>
      <c r="I176" s="52">
        <v>-61.028914127423846</v>
      </c>
      <c r="J176" s="52">
        <v>-55.653149847094838</v>
      </c>
      <c r="K176" s="53">
        <f>AVERAGE(Оценка_фальсификаций[[#This Row],[Ф. дума партии]:[Ф. мособлдума одномандатный]])</f>
        <v>-54.075589755484245</v>
      </c>
    </row>
    <row r="177" spans="1:13" x14ac:dyDescent="0.4">
      <c r="A177" s="45">
        <v>3909</v>
      </c>
      <c r="B177" s="45" t="s">
        <v>322</v>
      </c>
      <c r="C177" s="45" t="s">
        <v>387</v>
      </c>
      <c r="D177" s="46">
        <v>2322</v>
      </c>
      <c r="E177" s="79">
        <v>2017</v>
      </c>
      <c r="F177" s="46">
        <v>2</v>
      </c>
      <c r="G177" s="47">
        <v>-72.636608391608348</v>
      </c>
      <c r="H177" s="47">
        <v>-71.07041095890412</v>
      </c>
      <c r="I177" s="47">
        <v>-41.361822714681466</v>
      </c>
      <c r="J177" s="47">
        <v>-38.108225201072386</v>
      </c>
      <c r="K177" s="48">
        <f>AVERAGE(Оценка_фальсификаций[[#This Row],[Ф. дума партии]:[Ф. мособлдума одномандатный]])</f>
        <v>-55.794266816566576</v>
      </c>
      <c r="L177" s="47"/>
      <c r="M177" s="65"/>
    </row>
    <row r="178" spans="1:13" x14ac:dyDescent="0.4">
      <c r="A178" s="49">
        <v>2031</v>
      </c>
      <c r="B178" s="49" t="s">
        <v>349</v>
      </c>
      <c r="C178" s="49" t="s">
        <v>388</v>
      </c>
      <c r="D178" s="50">
        <v>2551</v>
      </c>
      <c r="E178" s="78">
        <v>2017</v>
      </c>
      <c r="F178" s="51">
        <v>1</v>
      </c>
      <c r="G178" s="52">
        <v>-81.192587412587372</v>
      </c>
      <c r="H178" s="52">
        <v>-21.482876712328775</v>
      </c>
      <c r="I178" s="52">
        <v>-73.113512465373987</v>
      </c>
      <c r="J178" s="52">
        <v>-50.687773700305854</v>
      </c>
      <c r="K178" s="53">
        <f>AVERAGE(Оценка_фальсификаций[[#This Row],[Ф. дума партии]:[Ф. мособлдума одномандатный]])</f>
        <v>-56.619187572648997</v>
      </c>
    </row>
    <row r="179" spans="1:13" x14ac:dyDescent="0.4">
      <c r="A179" s="49">
        <v>1999</v>
      </c>
      <c r="B179" s="49" t="s">
        <v>349</v>
      </c>
      <c r="C179" s="49" t="s">
        <v>388</v>
      </c>
      <c r="D179" s="50">
        <v>1472</v>
      </c>
      <c r="E179" s="78">
        <v>2017</v>
      </c>
      <c r="G179" s="52">
        <v>-72.449685314685297</v>
      </c>
      <c r="H179" s="52">
        <v>-58.163835616438377</v>
      </c>
      <c r="I179" s="52">
        <v>-57.728498614958454</v>
      </c>
      <c r="J179" s="52">
        <v>-46.971681957186576</v>
      </c>
      <c r="K179" s="53">
        <f>AVERAGE(Оценка_фальсификаций[[#This Row],[Ф. дума партии]:[Ф. мособлдума одномандатный]])</f>
        <v>-58.828425375817176</v>
      </c>
    </row>
    <row r="180" spans="1:13" x14ac:dyDescent="0.4">
      <c r="A180" s="49">
        <v>2047</v>
      </c>
      <c r="B180" s="49" t="s">
        <v>358</v>
      </c>
      <c r="C180" s="49" t="s">
        <v>388</v>
      </c>
      <c r="D180" s="50">
        <v>2663</v>
      </c>
      <c r="E180" s="78" t="s">
        <v>455</v>
      </c>
      <c r="F180" s="51">
        <v>1</v>
      </c>
      <c r="G180" s="52">
        <v>-42.73741258741255</v>
      </c>
      <c r="H180" s="52">
        <v>-41.921095890410967</v>
      </c>
      <c r="I180" s="52">
        <v>-65.453163434903075</v>
      </c>
      <c r="J180" s="52">
        <v>-86.119455657492395</v>
      </c>
      <c r="K180" s="53">
        <f>AVERAGE(Оценка_фальсификаций[[#This Row],[Ф. дума партии]:[Ф. мособлдума одномандатный]])</f>
        <v>-59.057781892554743</v>
      </c>
    </row>
    <row r="181" spans="1:13" s="56" customFormat="1" x14ac:dyDescent="0.4">
      <c r="A181" s="45">
        <v>3908</v>
      </c>
      <c r="B181" s="45" t="s">
        <v>322</v>
      </c>
      <c r="C181" s="45" t="s">
        <v>387</v>
      </c>
      <c r="D181" s="46">
        <v>2692</v>
      </c>
      <c r="E181" s="79">
        <v>2017</v>
      </c>
      <c r="F181" s="46">
        <v>1</v>
      </c>
      <c r="G181" s="47">
        <v>-85.083986013985992</v>
      </c>
      <c r="H181" s="47">
        <v>-52.435068493150695</v>
      </c>
      <c r="I181" s="47">
        <v>-70.469795013850458</v>
      </c>
      <c r="J181" s="47">
        <v>-33.157630026809656</v>
      </c>
      <c r="K181" s="48">
        <f>AVERAGE(Оценка_фальсификаций[[#This Row],[Ф. дума партии]:[Ф. мособлдума одномандатный]])</f>
        <v>-60.286619886949197</v>
      </c>
      <c r="L181" s="47"/>
      <c r="M181" s="65"/>
    </row>
    <row r="182" spans="1:13" s="56" customFormat="1" x14ac:dyDescent="0.4">
      <c r="A182" s="49">
        <v>2030</v>
      </c>
      <c r="B182" s="49" t="s">
        <v>349</v>
      </c>
      <c r="C182" s="49" t="s">
        <v>388</v>
      </c>
      <c r="D182" s="50">
        <v>2285</v>
      </c>
      <c r="E182" s="78">
        <v>2017</v>
      </c>
      <c r="F182" s="51"/>
      <c r="G182" s="52">
        <v>-66.459650349650317</v>
      </c>
      <c r="H182" s="52">
        <v>-51.845342465753447</v>
      </c>
      <c r="I182" s="52">
        <v>-64.742304709141294</v>
      </c>
      <c r="J182" s="52">
        <v>-77.356819571865472</v>
      </c>
      <c r="K182" s="53">
        <f>AVERAGE(Оценка_фальсификаций[[#This Row],[Ф. дума партии]:[Ф. мособлдума одномандатный]])</f>
        <v>-65.101029274102629</v>
      </c>
      <c r="L182" s="52"/>
      <c r="M182" s="66"/>
    </row>
    <row r="183" spans="1:13" x14ac:dyDescent="0.4">
      <c r="A183" s="49">
        <v>2037</v>
      </c>
      <c r="B183" s="49" t="s">
        <v>349</v>
      </c>
      <c r="C183" s="49" t="s">
        <v>388</v>
      </c>
      <c r="D183" s="50">
        <v>3017</v>
      </c>
      <c r="E183" s="78" t="s">
        <v>455</v>
      </c>
      <c r="G183" s="52">
        <v>-90.249860139860118</v>
      </c>
      <c r="H183" s="52">
        <v>-67.54890410958906</v>
      </c>
      <c r="I183" s="52">
        <v>-25.756781163434937</v>
      </c>
      <c r="J183" s="52">
        <v>-81.50698470948015</v>
      </c>
      <c r="K183" s="53">
        <f>AVERAGE(Оценка_фальсификаций[[#This Row],[Ф. дума партии]:[Ф. мособлдума одномандатный]])</f>
        <v>-66.265632530591063</v>
      </c>
    </row>
    <row r="184" spans="1:13" x14ac:dyDescent="0.4">
      <c r="A184" s="51">
        <f>SUBTOTAL(103,Оценка_фальсификаций[УИК])</f>
        <v>182</v>
      </c>
      <c r="D184" s="51">
        <f>SUBTOTAL(109,Оценка_фальсификаций[Избирателей в списках])</f>
        <v>320502</v>
      </c>
      <c r="E184" s="51">
        <f>SUBTOTAL(102,Оценка_фальсификаций[КОИБ])</f>
        <v>143</v>
      </c>
      <c r="F184" s="51">
        <f>SUBTOTAL(102,Оценка_фальсификаций[Наблюдателей])</f>
        <v>35</v>
      </c>
      <c r="G184" s="52">
        <f>SUBTOTAL(109,Оценка_фальсификаций[Ф. дума партии])</f>
        <v>26983.420898449371</v>
      </c>
      <c r="H184" s="52">
        <f>SUBTOTAL(109,Оценка_фальсификаций[Ф. мособлдума партии])</f>
        <v>25464.261301369854</v>
      </c>
      <c r="I184" s="52">
        <f>SUBTOTAL(109,Оценка_фальсификаций[Ф. дума одномандатный])</f>
        <v>28198.915161390007</v>
      </c>
      <c r="J184" s="52">
        <f>SUBTOTAL(109,Оценка_фальсификаций[Ф. мособлдума одномандатный])</f>
        <v>23880.409741210227</v>
      </c>
      <c r="K184" s="53">
        <f>SUBTOTAL(109,Оценка_фальсификаций[Ф. наборов бюллетеней])</f>
        <v>26131.75177560488</v>
      </c>
      <c r="L184" s="51"/>
    </row>
  </sheetData>
  <pageMargins left="0.7" right="0.7" top="0.75" bottom="0.75" header="0.3" footer="0.3"/>
  <pageSetup paperSize="9" orientation="portrait" horizontalDpi="4294967295" verticalDpi="4294967295"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Дума партии</vt:lpstr>
      <vt:lpstr>Мособлдума партии</vt:lpstr>
      <vt:lpstr>Дума одномандатный</vt:lpstr>
      <vt:lpstr>Мособлдума одномандатный №6</vt:lpstr>
      <vt:lpstr>Мособлдума одномандатный №13</vt:lpstr>
      <vt:lpstr>Оценка фальсификаций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2021-12-20T04:15:22Z</dcterms:created>
  <dcterms:modified xsi:type="dcterms:W3CDTF">2022-09-13T07:04:32Z</dcterms:modified>
</cp:coreProperties>
</file>